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codeName="ThisWorkbook"/>
  <mc:AlternateContent xmlns:mc="http://schemas.openxmlformats.org/markup-compatibility/2006">
    <mc:Choice Requires="x15">
      <x15ac:absPath xmlns:x15ac="http://schemas.microsoft.com/office/spreadsheetml/2010/11/ac" url="https://justiceuk.sharepoint.com/sites/yjbBusinessIntelligenceandInsights/Statistics and Analysis/Annual Statistics/000 25 - YJ Stats 24-25/Ch 7 - Children in custody/"/>
    </mc:Choice>
  </mc:AlternateContent>
  <xr:revisionPtr revIDLastSave="4123" documentId="8_{E271B121-17A5-47D6-8740-F630E57F188A}" xr6:coauthVersionLast="47" xr6:coauthVersionMax="47" xr10:uidLastSave="{3944DFFD-5486-4C9F-9E4B-56A25AA026AF}"/>
  <bookViews>
    <workbookView xWindow="-120" yWindow="-120" windowWidth="29040" windowHeight="15720" tabRatio="877" xr2:uid="{00000000-000D-0000-FFFF-FFFF00000000}"/>
  </bookViews>
  <sheets>
    <sheet name="Cover" sheetId="80" r:id="rId1"/>
    <sheet name="Notes" sheetId="90" r:id="rId2"/>
    <sheet name="7.1" sheetId="77" r:id="rId3"/>
    <sheet name="7.2" sheetId="82" r:id="rId4"/>
    <sheet name="7.3" sheetId="83" r:id="rId5"/>
    <sheet name="7.4" sheetId="84" r:id="rId6"/>
    <sheet name="7.5" sheetId="85" r:id="rId7"/>
    <sheet name="7.6" sheetId="86" r:id="rId8"/>
    <sheet name="7.7" sheetId="87" r:id="rId9"/>
    <sheet name="7.8" sheetId="88" r:id="rId10"/>
    <sheet name="7.9" sheetId="89" r:id="rId11"/>
    <sheet name="7.10" sheetId="91" r:id="rId12"/>
    <sheet name="7.11" sheetId="34" r:id="rId13"/>
    <sheet name="7.12" sheetId="92" r:id="rId14"/>
    <sheet name="7.13" sheetId="93" r:id="rId15"/>
    <sheet name="7.14" sheetId="94" r:id="rId16"/>
    <sheet name="7.15" sheetId="95" r:id="rId17"/>
    <sheet name="7.16" sheetId="96" r:id="rId18"/>
    <sheet name="7.17" sheetId="97" r:id="rId19"/>
    <sheet name="7.18" sheetId="98" r:id="rId20"/>
    <sheet name="7.19" sheetId="99" r:id="rId21"/>
    <sheet name="7.20" sheetId="78" r:id="rId22"/>
  </sheets>
  <definedNames>
    <definedName name="_Sort" localSheetId="1" hidden="1">#REF!</definedName>
    <definedName name="_Sort" hidden="1">#REF!</definedName>
    <definedName name="_Sort2" localSheetId="1" hidden="1">#REF!</definedName>
    <definedName name="_Sort2" hidden="1">#REF!</definedName>
    <definedName name="m" localSheetId="1" hidden="1">#REF!</definedName>
    <definedName name="m" hidden="1">#REF!</definedName>
    <definedName name="m99999999" hidden="1">#REF!</definedName>
    <definedName name="temp3" hidden="1">#REF!</definedName>
    <definedName name="temp3333333" hidden="1">#REF!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17" i="91" l="1"/>
  <c r="E17" i="91"/>
  <c r="F17" i="91"/>
  <c r="G17" i="91"/>
  <c r="H17" i="91"/>
  <c r="I17" i="91"/>
  <c r="J17" i="91"/>
  <c r="K17" i="91"/>
  <c r="L17" i="91"/>
  <c r="M17" i="91"/>
  <c r="C17" i="91"/>
  <c r="C18" i="91" s="1"/>
  <c r="M19" i="99"/>
  <c r="M13" i="99"/>
  <c r="J6" i="99"/>
  <c r="M28" i="98"/>
  <c r="O7" i="98"/>
  <c r="M7" i="98"/>
  <c r="J16" i="98"/>
  <c r="O54" i="96"/>
  <c r="J36" i="96"/>
  <c r="L51" i="96"/>
  <c r="J7" i="96"/>
  <c r="J7" i="95"/>
  <c r="J32" i="95"/>
  <c r="J26" i="93"/>
  <c r="J28" i="93"/>
  <c r="J23" i="93"/>
  <c r="L12" i="93"/>
  <c r="J6" i="93"/>
  <c r="O15" i="91"/>
  <c r="N11" i="91"/>
  <c r="N6" i="89"/>
  <c r="O16" i="89"/>
  <c r="N23" i="89"/>
  <c r="O28" i="89"/>
  <c r="O4" i="87"/>
  <c r="P6" i="87"/>
  <c r="O13" i="87"/>
  <c r="P15" i="87"/>
  <c r="M13" i="86"/>
  <c r="M4" i="86"/>
  <c r="O9" i="84"/>
  <c r="O8" i="83"/>
  <c r="N6" i="83"/>
  <c r="O6" i="77"/>
  <c r="N5" i="77"/>
  <c r="M16" i="88"/>
  <c r="M11" i="88"/>
  <c r="D18" i="87"/>
  <c r="M18" i="87"/>
  <c r="N18" i="87"/>
  <c r="N8" i="83"/>
  <c r="M9" i="77"/>
  <c r="C28" i="91" l="1"/>
  <c r="G7" i="78"/>
  <c r="H7" i="78"/>
  <c r="G8" i="78"/>
  <c r="H8" i="78"/>
  <c r="G9" i="78"/>
  <c r="H9" i="78"/>
  <c r="G10" i="78"/>
  <c r="H10" i="78"/>
  <c r="M48" i="92" l="1"/>
  <c r="L48" i="92"/>
  <c r="M37" i="92"/>
  <c r="L37" i="92"/>
  <c r="L26" i="92"/>
  <c r="M26" i="92"/>
  <c r="L15" i="92"/>
  <c r="M15" i="92"/>
  <c r="D15" i="92"/>
  <c r="E15" i="92"/>
  <c r="F15" i="92"/>
  <c r="G15" i="92"/>
  <c r="H15" i="92"/>
  <c r="I15" i="92"/>
  <c r="J15" i="92"/>
  <c r="K15" i="92"/>
  <c r="M37" i="34"/>
  <c r="M38" i="34"/>
  <c r="M39" i="34"/>
  <c r="M40" i="34"/>
  <c r="M41" i="34"/>
  <c r="M42" i="34"/>
  <c r="M43" i="34"/>
  <c r="M44" i="34"/>
  <c r="M45" i="34"/>
  <c r="M46" i="34"/>
  <c r="M47" i="34"/>
  <c r="O10" i="88" l="1"/>
  <c r="O9" i="88"/>
  <c r="O7" i="88"/>
  <c r="O6" i="88"/>
  <c r="N10" i="88"/>
  <c r="N9" i="88"/>
  <c r="N7" i="88"/>
  <c r="N6" i="88"/>
  <c r="O5" i="88"/>
  <c r="N5" i="88"/>
  <c r="O21" i="89"/>
  <c r="O20" i="89"/>
  <c r="O19" i="89"/>
  <c r="O18" i="89"/>
  <c r="O17" i="89"/>
  <c r="O15" i="89"/>
  <c r="O14" i="89"/>
  <c r="O13" i="89"/>
  <c r="O12" i="89"/>
  <c r="O11" i="89"/>
  <c r="O10" i="89"/>
  <c r="O9" i="89"/>
  <c r="O8" i="89"/>
  <c r="O7" i="89"/>
  <c r="N21" i="89"/>
  <c r="N20" i="89"/>
  <c r="N19" i="89"/>
  <c r="N18" i="89"/>
  <c r="N17" i="89"/>
  <c r="N16" i="89"/>
  <c r="N15" i="89"/>
  <c r="N14" i="89"/>
  <c r="N13" i="89"/>
  <c r="N12" i="89"/>
  <c r="N11" i="89"/>
  <c r="N10" i="89"/>
  <c r="N9" i="89"/>
  <c r="N8" i="89"/>
  <c r="N7" i="89"/>
  <c r="O6" i="89"/>
  <c r="O16" i="91"/>
  <c r="O7" i="91"/>
  <c r="O14" i="91"/>
  <c r="O13" i="91"/>
  <c r="O12" i="91"/>
  <c r="O11" i="91"/>
  <c r="O10" i="91"/>
  <c r="O9" i="91"/>
  <c r="N16" i="91"/>
  <c r="N15" i="91"/>
  <c r="N7" i="91"/>
  <c r="N14" i="91"/>
  <c r="N13" i="91"/>
  <c r="N12" i="91"/>
  <c r="N10" i="91"/>
  <c r="N9" i="91"/>
  <c r="O8" i="91"/>
  <c r="N8" i="91"/>
  <c r="O10" i="87"/>
  <c r="O9" i="87"/>
  <c r="O7" i="87"/>
  <c r="O6" i="87"/>
  <c r="O5" i="87"/>
  <c r="P10" i="87"/>
  <c r="P9" i="87"/>
  <c r="P7" i="87"/>
  <c r="P5" i="87"/>
  <c r="P4" i="87"/>
  <c r="O7" i="77"/>
  <c r="N7" i="77"/>
  <c r="N6" i="77"/>
  <c r="O5" i="77"/>
  <c r="N7" i="83" l="1"/>
  <c r="O9" i="83"/>
  <c r="O7" i="83"/>
  <c r="O6" i="83"/>
  <c r="O10" i="84"/>
  <c r="O8" i="84"/>
  <c r="O7" i="84"/>
  <c r="N10" i="84"/>
  <c r="N9" i="84"/>
  <c r="N8" i="84"/>
  <c r="N7" i="84"/>
  <c r="N6" i="85"/>
  <c r="M10" i="86"/>
  <c r="M9" i="86"/>
  <c r="M8" i="86"/>
  <c r="M7" i="86"/>
  <c r="M6" i="86"/>
  <c r="M5" i="86"/>
  <c r="O12" i="85"/>
  <c r="O11" i="85"/>
  <c r="O10" i="85"/>
  <c r="O9" i="85"/>
  <c r="O8" i="85"/>
  <c r="O7" i="85"/>
  <c r="O6" i="85"/>
  <c r="D9" i="83"/>
  <c r="E9" i="83"/>
  <c r="F9" i="83"/>
  <c r="G9" i="83"/>
  <c r="H9" i="83"/>
  <c r="I9" i="83"/>
  <c r="J9" i="83"/>
  <c r="K9" i="83"/>
  <c r="D6" i="84"/>
  <c r="E6" i="84"/>
  <c r="F6" i="84"/>
  <c r="G6" i="84"/>
  <c r="H6" i="84"/>
  <c r="I6" i="84"/>
  <c r="J6" i="84"/>
  <c r="K6" i="84"/>
  <c r="L6" i="84"/>
  <c r="M6" i="84"/>
  <c r="D13" i="85"/>
  <c r="E13" i="85"/>
  <c r="F13" i="85"/>
  <c r="G13" i="85"/>
  <c r="H13" i="85"/>
  <c r="I13" i="85"/>
  <c r="J13" i="85"/>
  <c r="K13" i="85"/>
  <c r="L13" i="85"/>
  <c r="M13" i="85"/>
  <c r="M11" i="84" l="1"/>
  <c r="O13" i="85"/>
  <c r="M17" i="85"/>
  <c r="O6" i="84"/>
  <c r="P5" i="99"/>
  <c r="P6" i="99"/>
  <c r="P7" i="99"/>
  <c r="P8" i="99"/>
  <c r="P9" i="99"/>
  <c r="P11" i="99"/>
  <c r="P12" i="99"/>
  <c r="P13" i="99"/>
  <c r="P14" i="99"/>
  <c r="P15" i="99"/>
  <c r="P17" i="99"/>
  <c r="P18" i="99"/>
  <c r="P19" i="99"/>
  <c r="P20" i="99"/>
  <c r="P21" i="99"/>
  <c r="P6" i="98"/>
  <c r="P7" i="98"/>
  <c r="P8" i="98"/>
  <c r="P9" i="98"/>
  <c r="P10" i="98"/>
  <c r="P12" i="98"/>
  <c r="P13" i="98"/>
  <c r="P14" i="98"/>
  <c r="P15" i="98"/>
  <c r="P16" i="98"/>
  <c r="P18" i="98"/>
  <c r="P19" i="98"/>
  <c r="P20" i="98"/>
  <c r="P21" i="98"/>
  <c r="P22" i="98"/>
  <c r="P26" i="98"/>
  <c r="P27" i="98"/>
  <c r="P28" i="98"/>
  <c r="P29" i="98"/>
  <c r="P30" i="98"/>
  <c r="P32" i="98"/>
  <c r="P33" i="98"/>
  <c r="P34" i="98"/>
  <c r="P35" i="98"/>
  <c r="P36" i="98"/>
  <c r="P38" i="98"/>
  <c r="P39" i="98"/>
  <c r="P40" i="98"/>
  <c r="P41" i="98"/>
  <c r="P42" i="98"/>
  <c r="P6" i="97"/>
  <c r="P7" i="97"/>
  <c r="P8" i="97"/>
  <c r="P9" i="97"/>
  <c r="P10" i="97"/>
  <c r="P12" i="97"/>
  <c r="P13" i="97"/>
  <c r="P14" i="97"/>
  <c r="P15" i="97"/>
  <c r="P16" i="97"/>
  <c r="P18" i="97"/>
  <c r="P19" i="97"/>
  <c r="P20" i="97"/>
  <c r="P21" i="97"/>
  <c r="P22" i="97"/>
  <c r="P32" i="96"/>
  <c r="P33" i="96"/>
  <c r="P34" i="96"/>
  <c r="P35" i="96"/>
  <c r="P36" i="96"/>
  <c r="P37" i="96"/>
  <c r="P38" i="96"/>
  <c r="P39" i="96"/>
  <c r="P40" i="96"/>
  <c r="P41" i="96"/>
  <c r="P42" i="96"/>
  <c r="P43" i="96"/>
  <c r="P44" i="96"/>
  <c r="P45" i="96"/>
  <c r="P46" i="96"/>
  <c r="P47" i="96"/>
  <c r="P48" i="96"/>
  <c r="P49" i="96"/>
  <c r="P50" i="96"/>
  <c r="P51" i="96"/>
  <c r="P52" i="96"/>
  <c r="P53" i="96"/>
  <c r="P54" i="96"/>
  <c r="P55" i="96"/>
  <c r="P56" i="96"/>
  <c r="P57" i="96"/>
  <c r="P58" i="96"/>
  <c r="P59" i="96"/>
  <c r="P7" i="96"/>
  <c r="P8" i="96"/>
  <c r="P9" i="96"/>
  <c r="P10" i="96"/>
  <c r="P11" i="96"/>
  <c r="P12" i="96"/>
  <c r="P13" i="96"/>
  <c r="P16" i="96"/>
  <c r="P18" i="96"/>
  <c r="P19" i="96"/>
  <c r="P20" i="96"/>
  <c r="P21" i="96"/>
  <c r="P22" i="96"/>
  <c r="P23" i="96"/>
  <c r="P26" i="96"/>
  <c r="P27" i="96"/>
  <c r="O21" i="95"/>
  <c r="O22" i="95"/>
  <c r="O23" i="95"/>
  <c r="O24" i="95"/>
  <c r="O25" i="95"/>
  <c r="O26" i="95"/>
  <c r="O27" i="95"/>
  <c r="O28" i="95"/>
  <c r="O29" i="95"/>
  <c r="O30" i="95"/>
  <c r="O31" i="95"/>
  <c r="O32" i="95"/>
  <c r="O33" i="95"/>
  <c r="O34" i="95"/>
  <c r="O7" i="95"/>
  <c r="O8" i="95"/>
  <c r="O9" i="95"/>
  <c r="O10" i="95"/>
  <c r="O11" i="95"/>
  <c r="O12" i="95"/>
  <c r="O13" i="95"/>
  <c r="O14" i="95"/>
  <c r="O15" i="95"/>
  <c r="O16" i="95"/>
  <c r="P5" i="94"/>
  <c r="P6" i="94"/>
  <c r="P7" i="94"/>
  <c r="P8" i="94"/>
  <c r="P9" i="94"/>
  <c r="P10" i="94"/>
  <c r="P11" i="94"/>
  <c r="P12" i="94"/>
  <c r="P6" i="93"/>
  <c r="P7" i="93"/>
  <c r="P8" i="93"/>
  <c r="P9" i="93"/>
  <c r="P10" i="93"/>
  <c r="P11" i="93"/>
  <c r="P12" i="93"/>
  <c r="P13" i="93"/>
  <c r="P14" i="93"/>
  <c r="P15" i="93"/>
  <c r="P16" i="93"/>
  <c r="P17" i="93"/>
  <c r="P18" i="93"/>
  <c r="P19" i="93"/>
  <c r="P20" i="93"/>
  <c r="P21" i="93"/>
  <c r="P22" i="93"/>
  <c r="P23" i="93"/>
  <c r="P24" i="93"/>
  <c r="P25" i="93"/>
  <c r="P26" i="93"/>
  <c r="P27" i="93"/>
  <c r="P28" i="93"/>
  <c r="P29" i="93"/>
  <c r="P30" i="93"/>
  <c r="P31" i="93"/>
  <c r="D22" i="89"/>
  <c r="E22" i="89"/>
  <c r="F22" i="89"/>
  <c r="G22" i="89"/>
  <c r="H22" i="89"/>
  <c r="I22" i="89"/>
  <c r="J22" i="89"/>
  <c r="K22" i="89"/>
  <c r="L22" i="89"/>
  <c r="M22" i="89"/>
  <c r="D23" i="89"/>
  <c r="E23" i="89"/>
  <c r="F23" i="89"/>
  <c r="G23" i="89"/>
  <c r="H23" i="89"/>
  <c r="I23" i="89"/>
  <c r="J23" i="89"/>
  <c r="K23" i="89"/>
  <c r="L23" i="89"/>
  <c r="M23" i="89"/>
  <c r="D24" i="89"/>
  <c r="E24" i="89"/>
  <c r="F24" i="89"/>
  <c r="G24" i="89"/>
  <c r="H24" i="89"/>
  <c r="I24" i="89"/>
  <c r="J24" i="89"/>
  <c r="K24" i="89"/>
  <c r="L24" i="89"/>
  <c r="M24" i="89"/>
  <c r="D25" i="89"/>
  <c r="E25" i="89"/>
  <c r="F25" i="89"/>
  <c r="G25" i="89"/>
  <c r="H25" i="89"/>
  <c r="I25" i="89"/>
  <c r="J25" i="89"/>
  <c r="K25" i="89"/>
  <c r="L25" i="89"/>
  <c r="O25" i="89" s="1"/>
  <c r="M25" i="89"/>
  <c r="L16" i="86"/>
  <c r="K16" i="86"/>
  <c r="J16" i="86"/>
  <c r="I16" i="86"/>
  <c r="H16" i="86"/>
  <c r="G16" i="86"/>
  <c r="F16" i="86"/>
  <c r="E16" i="86"/>
  <c r="D16" i="86"/>
  <c r="C16" i="86"/>
  <c r="L15" i="86"/>
  <c r="K15" i="86"/>
  <c r="J15" i="86"/>
  <c r="I15" i="86"/>
  <c r="H15" i="86"/>
  <c r="G15" i="86"/>
  <c r="F15" i="86"/>
  <c r="E15" i="86"/>
  <c r="D15" i="86"/>
  <c r="C15" i="86"/>
  <c r="L14" i="86"/>
  <c r="K14" i="86"/>
  <c r="J14" i="86"/>
  <c r="I14" i="86"/>
  <c r="H14" i="86"/>
  <c r="G14" i="86"/>
  <c r="F14" i="86"/>
  <c r="E14" i="86"/>
  <c r="D14" i="86"/>
  <c r="C14" i="86"/>
  <c r="L13" i="86"/>
  <c r="K13" i="86"/>
  <c r="J13" i="86"/>
  <c r="I13" i="86"/>
  <c r="H13" i="86"/>
  <c r="G13" i="86"/>
  <c r="F13" i="86"/>
  <c r="E13" i="86"/>
  <c r="D13" i="86"/>
  <c r="C13" i="86"/>
  <c r="L12" i="86"/>
  <c r="K12" i="86"/>
  <c r="J12" i="86"/>
  <c r="I12" i="86"/>
  <c r="H12" i="86"/>
  <c r="G12" i="86"/>
  <c r="F12" i="86"/>
  <c r="E12" i="86"/>
  <c r="D12" i="86"/>
  <c r="C12" i="86"/>
  <c r="L11" i="86"/>
  <c r="K11" i="86"/>
  <c r="J11" i="86"/>
  <c r="I11" i="86"/>
  <c r="H11" i="86"/>
  <c r="G11" i="86"/>
  <c r="F11" i="86"/>
  <c r="E11" i="86"/>
  <c r="D11" i="86"/>
  <c r="C11" i="86"/>
  <c r="G29" i="78"/>
  <c r="H29" i="78"/>
  <c r="G23" i="78"/>
  <c r="H23" i="78"/>
  <c r="I23" i="78"/>
  <c r="G17" i="78"/>
  <c r="H17" i="78"/>
  <c r="G11" i="78"/>
  <c r="H11" i="78"/>
  <c r="K48" i="92"/>
  <c r="J48" i="92"/>
  <c r="I48" i="92"/>
  <c r="H48" i="92"/>
  <c r="G48" i="92"/>
  <c r="F48" i="92"/>
  <c r="E48" i="92"/>
  <c r="D48" i="92"/>
  <c r="C48" i="92"/>
  <c r="K37" i="92"/>
  <c r="J37" i="92"/>
  <c r="I37" i="92"/>
  <c r="H37" i="92"/>
  <c r="G37" i="92"/>
  <c r="F37" i="92"/>
  <c r="E37" i="92"/>
  <c r="D37" i="92"/>
  <c r="C37" i="92"/>
  <c r="K26" i="92"/>
  <c r="J26" i="92"/>
  <c r="I26" i="92"/>
  <c r="H26" i="92"/>
  <c r="G26" i="92"/>
  <c r="F26" i="92"/>
  <c r="E26" i="92"/>
  <c r="D26" i="92"/>
  <c r="C26" i="92"/>
  <c r="C15" i="92"/>
  <c r="L28" i="91"/>
  <c r="K28" i="91"/>
  <c r="J27" i="91"/>
  <c r="I27" i="91"/>
  <c r="H26" i="91"/>
  <c r="G24" i="91"/>
  <c r="F18" i="91"/>
  <c r="E26" i="91"/>
  <c r="D25" i="91"/>
  <c r="C25" i="91"/>
  <c r="L37" i="89"/>
  <c r="K37" i="89"/>
  <c r="J37" i="89"/>
  <c r="I37" i="89"/>
  <c r="H37" i="89"/>
  <c r="G37" i="89"/>
  <c r="F37" i="89"/>
  <c r="E37" i="89"/>
  <c r="D37" i="89"/>
  <c r="C37" i="89"/>
  <c r="L36" i="89"/>
  <c r="K36" i="89"/>
  <c r="J36" i="89"/>
  <c r="I36" i="89"/>
  <c r="H36" i="89"/>
  <c r="G36" i="89"/>
  <c r="F36" i="89"/>
  <c r="E36" i="89"/>
  <c r="D36" i="89"/>
  <c r="C36" i="89"/>
  <c r="L35" i="89"/>
  <c r="K35" i="89"/>
  <c r="J35" i="89"/>
  <c r="I35" i="89"/>
  <c r="H35" i="89"/>
  <c r="G35" i="89"/>
  <c r="F35" i="89"/>
  <c r="E35" i="89"/>
  <c r="D35" i="89"/>
  <c r="C35" i="89"/>
  <c r="L34" i="89"/>
  <c r="K34" i="89"/>
  <c r="J34" i="89"/>
  <c r="I34" i="89"/>
  <c r="H34" i="89"/>
  <c r="G34" i="89"/>
  <c r="F34" i="89"/>
  <c r="E34" i="89"/>
  <c r="D34" i="89"/>
  <c r="C34" i="89"/>
  <c r="L33" i="89"/>
  <c r="K33" i="89"/>
  <c r="J33" i="89"/>
  <c r="I33" i="89"/>
  <c r="H33" i="89"/>
  <c r="G33" i="89"/>
  <c r="F33" i="89"/>
  <c r="E33" i="89"/>
  <c r="D33" i="89"/>
  <c r="C33" i="89"/>
  <c r="L32" i="89"/>
  <c r="K32" i="89"/>
  <c r="J32" i="89"/>
  <c r="I32" i="89"/>
  <c r="H32" i="89"/>
  <c r="G32" i="89"/>
  <c r="F32" i="89"/>
  <c r="E32" i="89"/>
  <c r="D32" i="89"/>
  <c r="C32" i="89"/>
  <c r="L31" i="89"/>
  <c r="K31" i="89"/>
  <c r="J31" i="89"/>
  <c r="I31" i="89"/>
  <c r="H31" i="89"/>
  <c r="G31" i="89"/>
  <c r="F31" i="89"/>
  <c r="E31" i="89"/>
  <c r="D31" i="89"/>
  <c r="C31" i="89"/>
  <c r="L30" i="89"/>
  <c r="K30" i="89"/>
  <c r="J30" i="89"/>
  <c r="I30" i="89"/>
  <c r="H30" i="89"/>
  <c r="G30" i="89"/>
  <c r="F30" i="89"/>
  <c r="E30" i="89"/>
  <c r="D30" i="89"/>
  <c r="C30" i="89"/>
  <c r="L29" i="89"/>
  <c r="K29" i="89"/>
  <c r="J29" i="89"/>
  <c r="I29" i="89"/>
  <c r="H29" i="89"/>
  <c r="G29" i="89"/>
  <c r="F29" i="89"/>
  <c r="E29" i="89"/>
  <c r="D29" i="89"/>
  <c r="C29" i="89"/>
  <c r="L28" i="89"/>
  <c r="K28" i="89"/>
  <c r="J28" i="89"/>
  <c r="I28" i="89"/>
  <c r="H28" i="89"/>
  <c r="G28" i="89"/>
  <c r="F28" i="89"/>
  <c r="E28" i="89"/>
  <c r="D28" i="89"/>
  <c r="C28" i="89"/>
  <c r="L27" i="89"/>
  <c r="K27" i="89"/>
  <c r="J27" i="89"/>
  <c r="I27" i="89"/>
  <c r="H27" i="89"/>
  <c r="G27" i="89"/>
  <c r="F27" i="89"/>
  <c r="E27" i="89"/>
  <c r="D27" i="89"/>
  <c r="C27" i="89"/>
  <c r="L26" i="89"/>
  <c r="K26" i="89"/>
  <c r="J26" i="89"/>
  <c r="I26" i="89"/>
  <c r="H26" i="89"/>
  <c r="G26" i="89"/>
  <c r="F26" i="89"/>
  <c r="E26" i="89"/>
  <c r="D26" i="89"/>
  <c r="C26" i="89"/>
  <c r="C25" i="89"/>
  <c r="N25" i="89" s="1"/>
  <c r="C24" i="89"/>
  <c r="C23" i="89"/>
  <c r="C22" i="89"/>
  <c r="L8" i="88"/>
  <c r="L17" i="88" s="1"/>
  <c r="K8" i="88"/>
  <c r="K17" i="88" s="1"/>
  <c r="J8" i="88"/>
  <c r="J16" i="88" s="1"/>
  <c r="I8" i="88"/>
  <c r="I16" i="88" s="1"/>
  <c r="H8" i="88"/>
  <c r="H15" i="88" s="1"/>
  <c r="G8" i="88"/>
  <c r="G15" i="88" s="1"/>
  <c r="F8" i="88"/>
  <c r="F14" i="88" s="1"/>
  <c r="E8" i="88"/>
  <c r="E15" i="88" s="1"/>
  <c r="D8" i="88"/>
  <c r="D13" i="88" s="1"/>
  <c r="C8" i="88"/>
  <c r="C13" i="88" s="1"/>
  <c r="H15" i="87"/>
  <c r="H13" i="87"/>
  <c r="F12" i="87"/>
  <c r="D12" i="87"/>
  <c r="M11" i="87"/>
  <c r="M19" i="87" s="1"/>
  <c r="L11" i="87"/>
  <c r="L15" i="87" s="1"/>
  <c r="K11" i="87"/>
  <c r="K18" i="87" s="1"/>
  <c r="J11" i="87"/>
  <c r="J18" i="87" s="1"/>
  <c r="I11" i="87"/>
  <c r="I17" i="87" s="1"/>
  <c r="H11" i="87"/>
  <c r="H17" i="87" s="1"/>
  <c r="G11" i="87"/>
  <c r="G17" i="87" s="1"/>
  <c r="F11" i="87"/>
  <c r="F17" i="87" s="1"/>
  <c r="E11" i="87"/>
  <c r="E15" i="87" s="1"/>
  <c r="D11" i="87"/>
  <c r="D15" i="87" s="1"/>
  <c r="M8" i="87"/>
  <c r="L8" i="87"/>
  <c r="K8" i="87"/>
  <c r="J8" i="87"/>
  <c r="I8" i="87"/>
  <c r="H8" i="87"/>
  <c r="H16" i="87" s="1"/>
  <c r="G8" i="87"/>
  <c r="F8" i="87"/>
  <c r="E8" i="87"/>
  <c r="D8" i="87"/>
  <c r="D20" i="85"/>
  <c r="H18" i="85"/>
  <c r="G18" i="85"/>
  <c r="H17" i="85"/>
  <c r="G17" i="85"/>
  <c r="H16" i="85"/>
  <c r="G16" i="85"/>
  <c r="F16" i="85"/>
  <c r="E16" i="85"/>
  <c r="D16" i="85"/>
  <c r="L14" i="85"/>
  <c r="G14" i="85"/>
  <c r="L21" i="85"/>
  <c r="K18" i="85"/>
  <c r="J20" i="85"/>
  <c r="I20" i="85"/>
  <c r="H19" i="85"/>
  <c r="G19" i="85"/>
  <c r="F18" i="85"/>
  <c r="E19" i="85"/>
  <c r="D17" i="85"/>
  <c r="C13" i="85"/>
  <c r="C17" i="85" s="1"/>
  <c r="K11" i="84"/>
  <c r="L11" i="84"/>
  <c r="J13" i="84"/>
  <c r="I13" i="84"/>
  <c r="H12" i="84"/>
  <c r="G12" i="84"/>
  <c r="F11" i="84"/>
  <c r="E12" i="84"/>
  <c r="D11" i="84"/>
  <c r="C6" i="84"/>
  <c r="C12" i="84" s="1"/>
  <c r="L12" i="83"/>
  <c r="K12" i="83"/>
  <c r="L11" i="83"/>
  <c r="K11" i="83"/>
  <c r="L10" i="83"/>
  <c r="G10" i="83"/>
  <c r="L13" i="83"/>
  <c r="K13" i="83"/>
  <c r="J12" i="83"/>
  <c r="I12" i="83"/>
  <c r="H11" i="83"/>
  <c r="G11" i="83"/>
  <c r="F10" i="83"/>
  <c r="E12" i="83"/>
  <c r="D10" i="83"/>
  <c r="C9" i="83"/>
  <c r="N28" i="82"/>
  <c r="N6" i="84" l="1"/>
  <c r="M15" i="86"/>
  <c r="M11" i="86"/>
  <c r="N22" i="89"/>
  <c r="O23" i="89"/>
  <c r="C11" i="88"/>
  <c r="C12" i="88"/>
  <c r="C20" i="85"/>
  <c r="C10" i="83"/>
  <c r="N9" i="83"/>
  <c r="C11" i="83"/>
  <c r="D13" i="87"/>
  <c r="F16" i="87"/>
  <c r="D17" i="87"/>
  <c r="D16" i="87"/>
  <c r="F18" i="87"/>
  <c r="F14" i="87"/>
  <c r="H18" i="87"/>
  <c r="E16" i="87"/>
  <c r="D19" i="87"/>
  <c r="M16" i="86"/>
  <c r="M12" i="86"/>
  <c r="M14" i="86"/>
  <c r="O24" i="89"/>
  <c r="N24" i="89"/>
  <c r="O22" i="89"/>
  <c r="F12" i="88"/>
  <c r="I11" i="88"/>
  <c r="I13" i="88"/>
  <c r="I12" i="88"/>
  <c r="I15" i="88"/>
  <c r="J12" i="88"/>
  <c r="J15" i="88"/>
  <c r="J14" i="88"/>
  <c r="E13" i="88"/>
  <c r="F17" i="88"/>
  <c r="I14" i="88"/>
  <c r="E11" i="88"/>
  <c r="F13" i="88"/>
  <c r="I17" i="88"/>
  <c r="F11" i="88"/>
  <c r="H13" i="88"/>
  <c r="I12" i="84"/>
  <c r="J12" i="84"/>
  <c r="D14" i="84"/>
  <c r="D13" i="84"/>
  <c r="L14" i="84"/>
  <c r="K14" i="84"/>
  <c r="L13" i="84"/>
  <c r="D12" i="84"/>
  <c r="L12" i="84"/>
  <c r="D11" i="83"/>
  <c r="C13" i="83"/>
  <c r="D13" i="83"/>
  <c r="H10" i="83"/>
  <c r="I10" i="83"/>
  <c r="C12" i="83"/>
  <c r="I11" i="83"/>
  <c r="K10" i="83"/>
  <c r="D12" i="83"/>
  <c r="C13" i="84"/>
  <c r="K13" i="84"/>
  <c r="C11" i="84"/>
  <c r="G11" i="84"/>
  <c r="C14" i="84"/>
  <c r="K12" i="84"/>
  <c r="H11" i="84"/>
  <c r="F14" i="84"/>
  <c r="F20" i="85"/>
  <c r="G20" i="85"/>
  <c r="D21" i="85"/>
  <c r="C15" i="85"/>
  <c r="D15" i="85"/>
  <c r="C14" i="85"/>
  <c r="F15" i="85"/>
  <c r="I18" i="85"/>
  <c r="E14" i="85"/>
  <c r="G15" i="85"/>
  <c r="E17" i="85"/>
  <c r="L18" i="85"/>
  <c r="E21" i="85"/>
  <c r="I17" i="85"/>
  <c r="E15" i="85"/>
  <c r="D14" i="85"/>
  <c r="I16" i="85"/>
  <c r="F14" i="85"/>
  <c r="H15" i="85"/>
  <c r="F17" i="85"/>
  <c r="K19" i="85"/>
  <c r="F21" i="85"/>
  <c r="G21" i="85"/>
  <c r="H21" i="85"/>
  <c r="E20" i="85"/>
  <c r="K21" i="91"/>
  <c r="C22" i="91"/>
  <c r="L19" i="91"/>
  <c r="D22" i="91"/>
  <c r="G25" i="91"/>
  <c r="G19" i="91"/>
  <c r="H25" i="91"/>
  <c r="H19" i="91"/>
  <c r="K18" i="91"/>
  <c r="K19" i="91"/>
  <c r="L18" i="91"/>
  <c r="D26" i="91"/>
  <c r="I20" i="91"/>
  <c r="I25" i="91"/>
  <c r="J20" i="91"/>
  <c r="K22" i="91"/>
  <c r="J25" i="91"/>
  <c r="K20" i="91"/>
  <c r="L22" i="91"/>
  <c r="K25" i="91"/>
  <c r="K26" i="91"/>
  <c r="C27" i="91"/>
  <c r="I19" i="91"/>
  <c r="C21" i="91"/>
  <c r="D23" i="91"/>
  <c r="I18" i="91"/>
  <c r="D27" i="91"/>
  <c r="C26" i="91"/>
  <c r="L20" i="91"/>
  <c r="C23" i="91"/>
  <c r="J19" i="91"/>
  <c r="D21" i="91"/>
  <c r="E24" i="91"/>
  <c r="J18" i="91"/>
  <c r="K27" i="91"/>
  <c r="D28" i="91"/>
  <c r="H28" i="91"/>
  <c r="L26" i="91"/>
  <c r="L21" i="91"/>
  <c r="L25" i="91"/>
  <c r="L27" i="91"/>
  <c r="G15" i="87"/>
  <c r="F13" i="87"/>
  <c r="E19" i="87"/>
  <c r="G13" i="87"/>
  <c r="F19" i="87"/>
  <c r="G16" i="87"/>
  <c r="H14" i="87"/>
  <c r="H14" i="88"/>
  <c r="G12" i="88"/>
  <c r="H12" i="88"/>
  <c r="D11" i="88"/>
  <c r="G17" i="88"/>
  <c r="G11" i="88"/>
  <c r="H11" i="88"/>
  <c r="G13" i="88"/>
  <c r="H17" i="88"/>
  <c r="D12" i="88"/>
  <c r="J13" i="88"/>
  <c r="E12" i="88"/>
  <c r="G14" i="88"/>
  <c r="J14" i="87"/>
  <c r="E13" i="87"/>
  <c r="K14" i="87"/>
  <c r="I16" i="87"/>
  <c r="I15" i="87"/>
  <c r="G19" i="87"/>
  <c r="J16" i="87"/>
  <c r="I13" i="87"/>
  <c r="J15" i="87"/>
  <c r="H19" i="87"/>
  <c r="I19" i="87"/>
  <c r="K16" i="87"/>
  <c r="J13" i="87"/>
  <c r="L16" i="87"/>
  <c r="E14" i="87"/>
  <c r="J19" i="87"/>
  <c r="K15" i="87"/>
  <c r="M16" i="87"/>
  <c r="E12" i="87"/>
  <c r="G14" i="87"/>
  <c r="E18" i="87"/>
  <c r="G12" i="87"/>
  <c r="H12" i="87"/>
  <c r="I14" i="87"/>
  <c r="G18" i="87"/>
  <c r="E27" i="91"/>
  <c r="J24" i="91"/>
  <c r="E19" i="91"/>
  <c r="G20" i="91"/>
  <c r="I21" i="91"/>
  <c r="C24" i="91"/>
  <c r="E25" i="91"/>
  <c r="G18" i="91"/>
  <c r="I26" i="91"/>
  <c r="F19" i="91"/>
  <c r="H20" i="91"/>
  <c r="J21" i="91"/>
  <c r="D24" i="91"/>
  <c r="F25" i="91"/>
  <c r="H18" i="91"/>
  <c r="J26" i="91"/>
  <c r="F24" i="91"/>
  <c r="E23" i="91"/>
  <c r="E28" i="91"/>
  <c r="F28" i="91"/>
  <c r="G28" i="91"/>
  <c r="H24" i="91"/>
  <c r="G23" i="91"/>
  <c r="C20" i="91"/>
  <c r="E21" i="91"/>
  <c r="G22" i="91"/>
  <c r="I23" i="91"/>
  <c r="K24" i="91"/>
  <c r="I28" i="91"/>
  <c r="D20" i="91"/>
  <c r="F21" i="91"/>
  <c r="H22" i="91"/>
  <c r="J23" i="91"/>
  <c r="L24" i="91"/>
  <c r="D18" i="91"/>
  <c r="F26" i="91"/>
  <c r="H27" i="91"/>
  <c r="J28" i="91"/>
  <c r="E22" i="91"/>
  <c r="I24" i="91"/>
  <c r="G27" i="91"/>
  <c r="C19" i="91"/>
  <c r="E20" i="91"/>
  <c r="G21" i="91"/>
  <c r="I22" i="91"/>
  <c r="K23" i="91"/>
  <c r="E18" i="91"/>
  <c r="G26" i="91"/>
  <c r="F23" i="91"/>
  <c r="F22" i="91"/>
  <c r="H23" i="91"/>
  <c r="F27" i="91"/>
  <c r="D19" i="91"/>
  <c r="F20" i="91"/>
  <c r="H21" i="91"/>
  <c r="J22" i="91"/>
  <c r="L23" i="91"/>
  <c r="K16" i="88"/>
  <c r="L16" i="88"/>
  <c r="K15" i="88"/>
  <c r="C17" i="88"/>
  <c r="D17" i="88"/>
  <c r="L15" i="88"/>
  <c r="K14" i="88"/>
  <c r="C16" i="88"/>
  <c r="E17" i="88"/>
  <c r="L14" i="88"/>
  <c r="C15" i="88"/>
  <c r="D15" i="88"/>
  <c r="K12" i="88"/>
  <c r="C14" i="88"/>
  <c r="J11" i="88"/>
  <c r="L12" i="88"/>
  <c r="D14" i="88"/>
  <c r="F15" i="88"/>
  <c r="H16" i="88"/>
  <c r="J17" i="88"/>
  <c r="K13" i="88"/>
  <c r="L13" i="88"/>
  <c r="G16" i="88"/>
  <c r="K11" i="88"/>
  <c r="E14" i="88"/>
  <c r="D16" i="88"/>
  <c r="E16" i="88"/>
  <c r="F16" i="88"/>
  <c r="L11" i="88"/>
  <c r="L14" i="87"/>
  <c r="L12" i="87"/>
  <c r="D14" i="87"/>
  <c r="F15" i="87"/>
  <c r="J17" i="87"/>
  <c r="L18" i="87"/>
  <c r="M12" i="87"/>
  <c r="K17" i="87"/>
  <c r="L17" i="87"/>
  <c r="M17" i="87"/>
  <c r="M15" i="87"/>
  <c r="I12" i="87"/>
  <c r="K13" i="87"/>
  <c r="M14" i="87"/>
  <c r="I18" i="87"/>
  <c r="K19" i="87"/>
  <c r="E17" i="87"/>
  <c r="J12" i="87"/>
  <c r="L13" i="87"/>
  <c r="L19" i="87"/>
  <c r="K12" i="87"/>
  <c r="M13" i="87"/>
  <c r="K14" i="85"/>
  <c r="C16" i="85"/>
  <c r="I19" i="85"/>
  <c r="K20" i="85"/>
  <c r="J19" i="85"/>
  <c r="L20" i="85"/>
  <c r="C21" i="85"/>
  <c r="J18" i="85"/>
  <c r="L19" i="85"/>
  <c r="J17" i="85"/>
  <c r="K17" i="85"/>
  <c r="J16" i="85"/>
  <c r="H14" i="85"/>
  <c r="J15" i="85"/>
  <c r="L16" i="85"/>
  <c r="D18" i="85"/>
  <c r="F19" i="85"/>
  <c r="H20" i="85"/>
  <c r="J21" i="85"/>
  <c r="C19" i="85"/>
  <c r="I15" i="85"/>
  <c r="K16" i="85"/>
  <c r="C18" i="85"/>
  <c r="I21" i="85"/>
  <c r="I14" i="85"/>
  <c r="K15" i="85"/>
  <c r="E18" i="85"/>
  <c r="K21" i="85"/>
  <c r="L17" i="85"/>
  <c r="D19" i="85"/>
  <c r="J14" i="85"/>
  <c r="L15" i="85"/>
  <c r="I11" i="84"/>
  <c r="J11" i="84"/>
  <c r="E13" i="84"/>
  <c r="F13" i="84"/>
  <c r="G13" i="84"/>
  <c r="F12" i="84"/>
  <c r="H13" i="84"/>
  <c r="J14" i="84"/>
  <c r="G14" i="84"/>
  <c r="H14" i="84"/>
  <c r="I14" i="84"/>
  <c r="E11" i="84"/>
  <c r="E14" i="84"/>
  <c r="E13" i="83"/>
  <c r="G13" i="83"/>
  <c r="H13" i="83"/>
  <c r="E11" i="83"/>
  <c r="G12" i="83"/>
  <c r="I13" i="83"/>
  <c r="F13" i="83"/>
  <c r="F11" i="83"/>
  <c r="H12" i="83"/>
  <c r="J13" i="83"/>
  <c r="E10" i="83"/>
  <c r="J11" i="83"/>
  <c r="J10" i="83"/>
  <c r="F12" i="83"/>
  <c r="L10" i="77" l="1"/>
  <c r="K10" i="77"/>
  <c r="J10" i="77"/>
  <c r="I10" i="77"/>
  <c r="H10" i="77"/>
  <c r="G10" i="77"/>
  <c r="F10" i="77"/>
  <c r="E10" i="77"/>
  <c r="D10" i="77"/>
  <c r="C10" i="77"/>
  <c r="L9" i="77"/>
  <c r="K9" i="77"/>
  <c r="J9" i="77"/>
  <c r="I9" i="77"/>
  <c r="H9" i="77"/>
  <c r="G9" i="77"/>
  <c r="F9" i="77"/>
  <c r="E9" i="77"/>
  <c r="D9" i="77"/>
  <c r="C9" i="77"/>
  <c r="L8" i="77"/>
  <c r="K8" i="77"/>
  <c r="J8" i="77"/>
  <c r="I8" i="77"/>
  <c r="H8" i="77"/>
  <c r="G8" i="77"/>
  <c r="F8" i="77"/>
  <c r="E8" i="77"/>
  <c r="D8" i="77"/>
  <c r="C8" i="77"/>
  <c r="M10" i="77"/>
  <c r="N9" i="77" l="1"/>
  <c r="O9" i="77"/>
  <c r="O21" i="99"/>
  <c r="N21" i="99"/>
  <c r="M21" i="99"/>
  <c r="L21" i="99"/>
  <c r="K21" i="99"/>
  <c r="J21" i="99"/>
  <c r="O20" i="99"/>
  <c r="N20" i="99"/>
  <c r="M20" i="99"/>
  <c r="L20" i="99"/>
  <c r="K20" i="99"/>
  <c r="J20" i="99"/>
  <c r="O19" i="99"/>
  <c r="N19" i="99"/>
  <c r="L19" i="99"/>
  <c r="K19" i="99"/>
  <c r="J19" i="99"/>
  <c r="O18" i="99"/>
  <c r="N18" i="99"/>
  <c r="M18" i="99"/>
  <c r="L18" i="99"/>
  <c r="K18" i="99"/>
  <c r="J18" i="99"/>
  <c r="O17" i="99"/>
  <c r="N17" i="99"/>
  <c r="M17" i="99"/>
  <c r="L17" i="99"/>
  <c r="K17" i="99"/>
  <c r="J17" i="99"/>
  <c r="O15" i="99"/>
  <c r="N15" i="99"/>
  <c r="M15" i="99"/>
  <c r="L15" i="99"/>
  <c r="K15" i="99"/>
  <c r="J15" i="99"/>
  <c r="O14" i="99"/>
  <c r="N14" i="99"/>
  <c r="M14" i="99"/>
  <c r="L14" i="99"/>
  <c r="K14" i="99"/>
  <c r="J14" i="99"/>
  <c r="O13" i="99"/>
  <c r="N13" i="99"/>
  <c r="L13" i="99"/>
  <c r="K13" i="99"/>
  <c r="J13" i="99"/>
  <c r="O12" i="99"/>
  <c r="N12" i="99"/>
  <c r="M12" i="99"/>
  <c r="L12" i="99"/>
  <c r="K12" i="99"/>
  <c r="J12" i="99"/>
  <c r="O11" i="99"/>
  <c r="N11" i="99"/>
  <c r="M11" i="99"/>
  <c r="L11" i="99"/>
  <c r="K11" i="99"/>
  <c r="J11" i="99"/>
  <c r="O9" i="99"/>
  <c r="N9" i="99"/>
  <c r="M9" i="99"/>
  <c r="L9" i="99"/>
  <c r="K9" i="99"/>
  <c r="J9" i="99"/>
  <c r="O8" i="99"/>
  <c r="N8" i="99"/>
  <c r="M8" i="99"/>
  <c r="L8" i="99"/>
  <c r="K8" i="99"/>
  <c r="J8" i="99"/>
  <c r="O7" i="99"/>
  <c r="N7" i="99"/>
  <c r="M7" i="99"/>
  <c r="L7" i="99"/>
  <c r="K7" i="99"/>
  <c r="J7" i="99"/>
  <c r="O6" i="99"/>
  <c r="N6" i="99"/>
  <c r="M6" i="99"/>
  <c r="L6" i="99"/>
  <c r="K6" i="99"/>
  <c r="O5" i="99"/>
  <c r="N5" i="99"/>
  <c r="M5" i="99"/>
  <c r="L5" i="99"/>
  <c r="K5" i="99"/>
  <c r="J5" i="99"/>
  <c r="O42" i="98"/>
  <c r="N42" i="98"/>
  <c r="M42" i="98"/>
  <c r="L42" i="98"/>
  <c r="K42" i="98"/>
  <c r="J42" i="98"/>
  <c r="O41" i="98"/>
  <c r="N41" i="98"/>
  <c r="M41" i="98"/>
  <c r="L41" i="98"/>
  <c r="K41" i="98"/>
  <c r="J41" i="98"/>
  <c r="O40" i="98"/>
  <c r="N40" i="98"/>
  <c r="M40" i="98"/>
  <c r="L40" i="98"/>
  <c r="K40" i="98"/>
  <c r="J40" i="98"/>
  <c r="O39" i="98"/>
  <c r="N39" i="98"/>
  <c r="M39" i="98"/>
  <c r="L39" i="98"/>
  <c r="K39" i="98"/>
  <c r="J39" i="98"/>
  <c r="O38" i="98"/>
  <c r="N38" i="98"/>
  <c r="M38" i="98"/>
  <c r="L38" i="98"/>
  <c r="K38" i="98"/>
  <c r="J38" i="98"/>
  <c r="O36" i="98"/>
  <c r="N36" i="98"/>
  <c r="M36" i="98"/>
  <c r="L36" i="98"/>
  <c r="K36" i="98"/>
  <c r="J36" i="98"/>
  <c r="O35" i="98"/>
  <c r="N35" i="98"/>
  <c r="M35" i="98"/>
  <c r="L35" i="98"/>
  <c r="K35" i="98"/>
  <c r="J35" i="98"/>
  <c r="O34" i="98"/>
  <c r="N34" i="98"/>
  <c r="M34" i="98"/>
  <c r="L34" i="98"/>
  <c r="K34" i="98"/>
  <c r="J34" i="98"/>
  <c r="O33" i="98"/>
  <c r="N33" i="98"/>
  <c r="M33" i="98"/>
  <c r="L33" i="98"/>
  <c r="K33" i="98"/>
  <c r="J33" i="98"/>
  <c r="O32" i="98"/>
  <c r="N32" i="98"/>
  <c r="M32" i="98"/>
  <c r="L32" i="98"/>
  <c r="K32" i="98"/>
  <c r="J32" i="98"/>
  <c r="O30" i="98"/>
  <c r="N30" i="98"/>
  <c r="M30" i="98"/>
  <c r="L30" i="98"/>
  <c r="K30" i="98"/>
  <c r="J30" i="98"/>
  <c r="O29" i="98"/>
  <c r="N29" i="98"/>
  <c r="M29" i="98"/>
  <c r="L29" i="98"/>
  <c r="K29" i="98"/>
  <c r="J29" i="98"/>
  <c r="O28" i="98"/>
  <c r="N28" i="98"/>
  <c r="L28" i="98"/>
  <c r="K28" i="98"/>
  <c r="J28" i="98"/>
  <c r="O27" i="98"/>
  <c r="N27" i="98"/>
  <c r="M27" i="98"/>
  <c r="L27" i="98"/>
  <c r="K27" i="98"/>
  <c r="J27" i="98"/>
  <c r="O26" i="98"/>
  <c r="N26" i="98"/>
  <c r="M26" i="98"/>
  <c r="L26" i="98"/>
  <c r="K26" i="98"/>
  <c r="J26" i="98"/>
  <c r="O22" i="98"/>
  <c r="N22" i="98"/>
  <c r="M22" i="98"/>
  <c r="L22" i="98"/>
  <c r="K22" i="98"/>
  <c r="J22" i="98"/>
  <c r="O21" i="98"/>
  <c r="N21" i="98"/>
  <c r="M21" i="98"/>
  <c r="L21" i="98"/>
  <c r="K21" i="98"/>
  <c r="J21" i="98"/>
  <c r="O20" i="98"/>
  <c r="N20" i="98"/>
  <c r="M20" i="98"/>
  <c r="L20" i="98"/>
  <c r="K20" i="98"/>
  <c r="J20" i="98"/>
  <c r="O19" i="98"/>
  <c r="N19" i="98"/>
  <c r="M19" i="98"/>
  <c r="L19" i="98"/>
  <c r="K19" i="98"/>
  <c r="J19" i="98"/>
  <c r="O18" i="98"/>
  <c r="N18" i="98"/>
  <c r="M18" i="98"/>
  <c r="L18" i="98"/>
  <c r="K18" i="98"/>
  <c r="J18" i="98"/>
  <c r="O16" i="98"/>
  <c r="N16" i="98"/>
  <c r="M16" i="98"/>
  <c r="L16" i="98"/>
  <c r="K16" i="98"/>
  <c r="O15" i="98"/>
  <c r="N15" i="98"/>
  <c r="M15" i="98"/>
  <c r="L15" i="98"/>
  <c r="K15" i="98"/>
  <c r="J15" i="98"/>
  <c r="O14" i="98"/>
  <c r="N14" i="98"/>
  <c r="M14" i="98"/>
  <c r="L14" i="98"/>
  <c r="K14" i="98"/>
  <c r="J14" i="98"/>
  <c r="O13" i="98"/>
  <c r="N13" i="98"/>
  <c r="M13" i="98"/>
  <c r="L13" i="98"/>
  <c r="K13" i="98"/>
  <c r="J13" i="98"/>
  <c r="O12" i="98"/>
  <c r="N12" i="98"/>
  <c r="M12" i="98"/>
  <c r="L12" i="98"/>
  <c r="K12" i="98"/>
  <c r="J12" i="98"/>
  <c r="O10" i="98"/>
  <c r="N10" i="98"/>
  <c r="M10" i="98"/>
  <c r="L10" i="98"/>
  <c r="K10" i="98"/>
  <c r="J10" i="98"/>
  <c r="O9" i="98"/>
  <c r="N9" i="98"/>
  <c r="M9" i="98"/>
  <c r="L9" i="98"/>
  <c r="K9" i="98"/>
  <c r="J9" i="98"/>
  <c r="O8" i="98"/>
  <c r="N8" i="98"/>
  <c r="M8" i="98"/>
  <c r="L8" i="98"/>
  <c r="K8" i="98"/>
  <c r="J8" i="98"/>
  <c r="N7" i="98"/>
  <c r="L7" i="98"/>
  <c r="K7" i="98"/>
  <c r="J7" i="98"/>
  <c r="O6" i="98"/>
  <c r="N6" i="98"/>
  <c r="M6" i="98"/>
  <c r="L6" i="98"/>
  <c r="K6" i="98"/>
  <c r="J6" i="98"/>
  <c r="O22" i="97"/>
  <c r="N22" i="97"/>
  <c r="M22" i="97"/>
  <c r="L22" i="97"/>
  <c r="K22" i="97"/>
  <c r="J22" i="97"/>
  <c r="O21" i="97"/>
  <c r="N21" i="97"/>
  <c r="M21" i="97"/>
  <c r="L21" i="97"/>
  <c r="K21" i="97"/>
  <c r="J21" i="97"/>
  <c r="O20" i="97"/>
  <c r="N20" i="97"/>
  <c r="M20" i="97"/>
  <c r="L20" i="97"/>
  <c r="K20" i="97"/>
  <c r="J20" i="97"/>
  <c r="O19" i="97"/>
  <c r="N19" i="97"/>
  <c r="M19" i="97"/>
  <c r="L19" i="97"/>
  <c r="K19" i="97"/>
  <c r="J19" i="97"/>
  <c r="O18" i="97"/>
  <c r="N18" i="97"/>
  <c r="M18" i="97"/>
  <c r="L18" i="97"/>
  <c r="K18" i="97"/>
  <c r="J18" i="97"/>
  <c r="O16" i="97"/>
  <c r="N16" i="97"/>
  <c r="M16" i="97"/>
  <c r="L16" i="97"/>
  <c r="K16" i="97"/>
  <c r="J16" i="97"/>
  <c r="O15" i="97"/>
  <c r="N15" i="97"/>
  <c r="M15" i="97"/>
  <c r="L15" i="97"/>
  <c r="K15" i="97"/>
  <c r="J15" i="97"/>
  <c r="O14" i="97"/>
  <c r="N14" i="97"/>
  <c r="M14" i="97"/>
  <c r="L14" i="97"/>
  <c r="K14" i="97"/>
  <c r="J14" i="97"/>
  <c r="O13" i="97"/>
  <c r="N13" i="97"/>
  <c r="M13" i="97"/>
  <c r="L13" i="97"/>
  <c r="K13" i="97"/>
  <c r="J13" i="97"/>
  <c r="O12" i="97"/>
  <c r="N12" i="97"/>
  <c r="M12" i="97"/>
  <c r="L12" i="97"/>
  <c r="K12" i="97"/>
  <c r="J12" i="97"/>
  <c r="O10" i="97"/>
  <c r="N10" i="97"/>
  <c r="M10" i="97"/>
  <c r="L10" i="97"/>
  <c r="K10" i="97"/>
  <c r="J10" i="97"/>
  <c r="O9" i="97"/>
  <c r="N9" i="97"/>
  <c r="M9" i="97"/>
  <c r="L9" i="97"/>
  <c r="K9" i="97"/>
  <c r="J9" i="97"/>
  <c r="O8" i="97"/>
  <c r="N8" i="97"/>
  <c r="M8" i="97"/>
  <c r="L8" i="97"/>
  <c r="K8" i="97"/>
  <c r="J8" i="97"/>
  <c r="O7" i="97"/>
  <c r="N7" i="97"/>
  <c r="M7" i="97"/>
  <c r="L7" i="97"/>
  <c r="K7" i="97"/>
  <c r="J7" i="97"/>
  <c r="O6" i="97"/>
  <c r="N6" i="97"/>
  <c r="M6" i="97"/>
  <c r="L6" i="97"/>
  <c r="K6" i="97"/>
  <c r="J6" i="97"/>
  <c r="O59" i="96" l="1"/>
  <c r="N59" i="96"/>
  <c r="M59" i="96"/>
  <c r="L59" i="96"/>
  <c r="K59" i="96"/>
  <c r="J59" i="96"/>
  <c r="O58" i="96"/>
  <c r="N58" i="96"/>
  <c r="M58" i="96"/>
  <c r="L58" i="96"/>
  <c r="K58" i="96"/>
  <c r="J58" i="96"/>
  <c r="O57" i="96"/>
  <c r="N57" i="96"/>
  <c r="M57" i="96"/>
  <c r="L57" i="96"/>
  <c r="K57" i="96"/>
  <c r="J57" i="96"/>
  <c r="O56" i="96"/>
  <c r="N56" i="96"/>
  <c r="M56" i="96"/>
  <c r="L56" i="96"/>
  <c r="K56" i="96"/>
  <c r="J56" i="96"/>
  <c r="O55" i="96"/>
  <c r="N55" i="96"/>
  <c r="M55" i="96"/>
  <c r="L55" i="96"/>
  <c r="K55" i="96"/>
  <c r="J55" i="96"/>
  <c r="N54" i="96"/>
  <c r="M54" i="96"/>
  <c r="L54" i="96"/>
  <c r="K54" i="96"/>
  <c r="J54" i="96"/>
  <c r="O53" i="96"/>
  <c r="N53" i="96"/>
  <c r="M53" i="96"/>
  <c r="L53" i="96"/>
  <c r="K53" i="96"/>
  <c r="J53" i="96"/>
  <c r="O52" i="96"/>
  <c r="N52" i="96"/>
  <c r="M52" i="96"/>
  <c r="L52" i="96"/>
  <c r="K52" i="96"/>
  <c r="J52" i="96"/>
  <c r="O51" i="96"/>
  <c r="N51" i="96"/>
  <c r="M51" i="96"/>
  <c r="K51" i="96"/>
  <c r="J51" i="96"/>
  <c r="O50" i="96"/>
  <c r="N50" i="96"/>
  <c r="M50" i="96"/>
  <c r="L50" i="96"/>
  <c r="K50" i="96"/>
  <c r="J50" i="96"/>
  <c r="O49" i="96"/>
  <c r="N49" i="96"/>
  <c r="M49" i="96"/>
  <c r="L49" i="96"/>
  <c r="K49" i="96"/>
  <c r="J49" i="96"/>
  <c r="O48" i="96"/>
  <c r="N48" i="96"/>
  <c r="M48" i="96"/>
  <c r="L48" i="96"/>
  <c r="K48" i="96"/>
  <c r="J48" i="96"/>
  <c r="O47" i="96"/>
  <c r="N47" i="96"/>
  <c r="M47" i="96"/>
  <c r="L47" i="96"/>
  <c r="K47" i="96"/>
  <c r="J47" i="96"/>
  <c r="O46" i="96"/>
  <c r="N46" i="96"/>
  <c r="M46" i="96"/>
  <c r="L46" i="96"/>
  <c r="K46" i="96"/>
  <c r="J46" i="96"/>
  <c r="O45" i="96"/>
  <c r="N45" i="96"/>
  <c r="M45" i="96"/>
  <c r="L45" i="96"/>
  <c r="K45" i="96"/>
  <c r="J45" i="96"/>
  <c r="O44" i="96"/>
  <c r="N44" i="96"/>
  <c r="M44" i="96"/>
  <c r="L44" i="96"/>
  <c r="K44" i="96"/>
  <c r="J44" i="96"/>
  <c r="O43" i="96"/>
  <c r="N43" i="96"/>
  <c r="M43" i="96"/>
  <c r="L43" i="96"/>
  <c r="K43" i="96"/>
  <c r="J43" i="96"/>
  <c r="O42" i="96"/>
  <c r="N42" i="96"/>
  <c r="M42" i="96"/>
  <c r="L42" i="96"/>
  <c r="K42" i="96"/>
  <c r="J42" i="96"/>
  <c r="O41" i="96"/>
  <c r="N41" i="96"/>
  <c r="M41" i="96"/>
  <c r="L41" i="96"/>
  <c r="K41" i="96"/>
  <c r="J41" i="96"/>
  <c r="O40" i="96"/>
  <c r="N40" i="96"/>
  <c r="M40" i="96"/>
  <c r="L40" i="96"/>
  <c r="K40" i="96"/>
  <c r="J40" i="96"/>
  <c r="O39" i="96"/>
  <c r="N39" i="96"/>
  <c r="M39" i="96"/>
  <c r="L39" i="96"/>
  <c r="K39" i="96"/>
  <c r="J39" i="96"/>
  <c r="O38" i="96"/>
  <c r="N38" i="96"/>
  <c r="M38" i="96"/>
  <c r="L38" i="96"/>
  <c r="K38" i="96"/>
  <c r="J38" i="96"/>
  <c r="O37" i="96"/>
  <c r="N37" i="96"/>
  <c r="M37" i="96"/>
  <c r="L37" i="96"/>
  <c r="K37" i="96"/>
  <c r="J37" i="96"/>
  <c r="O36" i="96"/>
  <c r="N36" i="96"/>
  <c r="M36" i="96"/>
  <c r="L36" i="96"/>
  <c r="K36" i="96"/>
  <c r="O35" i="96"/>
  <c r="N35" i="96"/>
  <c r="M35" i="96"/>
  <c r="L35" i="96"/>
  <c r="K35" i="96"/>
  <c r="J35" i="96"/>
  <c r="O34" i="96"/>
  <c r="N34" i="96"/>
  <c r="M34" i="96"/>
  <c r="L34" i="96"/>
  <c r="K34" i="96"/>
  <c r="J34" i="96"/>
  <c r="O33" i="96"/>
  <c r="N33" i="96"/>
  <c r="M33" i="96"/>
  <c r="L33" i="96"/>
  <c r="K33" i="96"/>
  <c r="J33" i="96"/>
  <c r="O32" i="96"/>
  <c r="N32" i="96"/>
  <c r="M32" i="96"/>
  <c r="L32" i="96"/>
  <c r="K32" i="96"/>
  <c r="J32" i="96"/>
  <c r="O27" i="96"/>
  <c r="N27" i="96"/>
  <c r="M27" i="96"/>
  <c r="L27" i="96"/>
  <c r="K27" i="96"/>
  <c r="J27" i="96"/>
  <c r="O26" i="96"/>
  <c r="N26" i="96"/>
  <c r="L26" i="96"/>
  <c r="K26" i="96"/>
  <c r="J26" i="96"/>
  <c r="O25" i="96"/>
  <c r="M25" i="96"/>
  <c r="L25" i="96"/>
  <c r="K25" i="96"/>
  <c r="O24" i="96"/>
  <c r="L24" i="96"/>
  <c r="K24" i="96"/>
  <c r="O23" i="96"/>
  <c r="N23" i="96"/>
  <c r="M23" i="96"/>
  <c r="L23" i="96"/>
  <c r="K23" i="96"/>
  <c r="J23" i="96"/>
  <c r="O22" i="96"/>
  <c r="N22" i="96"/>
  <c r="M22" i="96"/>
  <c r="L22" i="96"/>
  <c r="K22" i="96"/>
  <c r="J22" i="96"/>
  <c r="O21" i="96"/>
  <c r="N21" i="96"/>
  <c r="M21" i="96"/>
  <c r="L21" i="96"/>
  <c r="K21" i="96"/>
  <c r="J21" i="96"/>
  <c r="O20" i="96"/>
  <c r="N20" i="96"/>
  <c r="M20" i="96"/>
  <c r="L20" i="96"/>
  <c r="K20" i="96"/>
  <c r="J20" i="96"/>
  <c r="O19" i="96"/>
  <c r="N19" i="96"/>
  <c r="M19" i="96"/>
  <c r="L19" i="96"/>
  <c r="K19" i="96"/>
  <c r="J19" i="96"/>
  <c r="O18" i="96"/>
  <c r="N18" i="96"/>
  <c r="M18" i="96"/>
  <c r="L18" i="96"/>
  <c r="K18" i="96"/>
  <c r="J18" i="96"/>
  <c r="O16" i="96"/>
  <c r="N16" i="96"/>
  <c r="M16" i="96"/>
  <c r="L16" i="96"/>
  <c r="K16" i="96"/>
  <c r="J16" i="96"/>
  <c r="O15" i="96"/>
  <c r="M15" i="96"/>
  <c r="L15" i="96"/>
  <c r="K15" i="96"/>
  <c r="J15" i="96"/>
  <c r="O14" i="96"/>
  <c r="N14" i="96"/>
  <c r="M14" i="96"/>
  <c r="K14" i="96"/>
  <c r="J14" i="96"/>
  <c r="O13" i="96"/>
  <c r="M13" i="96"/>
  <c r="K13" i="96"/>
  <c r="J13" i="96"/>
  <c r="O12" i="96"/>
  <c r="N12" i="96"/>
  <c r="M12" i="96"/>
  <c r="L12" i="96"/>
  <c r="K12" i="96"/>
  <c r="J12" i="96"/>
  <c r="O11" i="96"/>
  <c r="N11" i="96"/>
  <c r="M11" i="96"/>
  <c r="L11" i="96"/>
  <c r="K11" i="96"/>
  <c r="J11" i="96"/>
  <c r="O10" i="96"/>
  <c r="N10" i="96"/>
  <c r="M10" i="96"/>
  <c r="L10" i="96"/>
  <c r="K10" i="96"/>
  <c r="J10" i="96"/>
  <c r="O9" i="96"/>
  <c r="N9" i="96"/>
  <c r="M9" i="96"/>
  <c r="L9" i="96"/>
  <c r="K9" i="96"/>
  <c r="J9" i="96"/>
  <c r="O8" i="96"/>
  <c r="N8" i="96"/>
  <c r="M8" i="96"/>
  <c r="L8" i="96"/>
  <c r="K8" i="96"/>
  <c r="J8" i="96"/>
  <c r="O7" i="96"/>
  <c r="N7" i="96"/>
  <c r="M7" i="96"/>
  <c r="L7" i="96"/>
  <c r="K7" i="96"/>
  <c r="N34" i="95"/>
  <c r="M34" i="95"/>
  <c r="L34" i="95"/>
  <c r="K34" i="95"/>
  <c r="J34" i="95"/>
  <c r="I34" i="95"/>
  <c r="N33" i="95"/>
  <c r="M33" i="95"/>
  <c r="L33" i="95"/>
  <c r="K33" i="95"/>
  <c r="J33" i="95"/>
  <c r="I33" i="95"/>
  <c r="N32" i="95"/>
  <c r="M32" i="95"/>
  <c r="L32" i="95"/>
  <c r="K32" i="95"/>
  <c r="I32" i="95"/>
  <c r="N31" i="95"/>
  <c r="M31" i="95"/>
  <c r="L31" i="95"/>
  <c r="K31" i="95"/>
  <c r="J31" i="95"/>
  <c r="I31" i="95"/>
  <c r="N30" i="95"/>
  <c r="M30" i="95"/>
  <c r="L30" i="95"/>
  <c r="K30" i="95"/>
  <c r="J30" i="95"/>
  <c r="I30" i="95"/>
  <c r="N29" i="95"/>
  <c r="M29" i="95"/>
  <c r="L29" i="95"/>
  <c r="K29" i="95"/>
  <c r="J29" i="95"/>
  <c r="I29" i="95"/>
  <c r="N28" i="95"/>
  <c r="M28" i="95"/>
  <c r="L28" i="95"/>
  <c r="K28" i="95"/>
  <c r="J28" i="95"/>
  <c r="I28" i="95"/>
  <c r="N27" i="95"/>
  <c r="M27" i="95"/>
  <c r="L27" i="95"/>
  <c r="K27" i="95"/>
  <c r="J27" i="95"/>
  <c r="I27" i="95"/>
  <c r="N26" i="95"/>
  <c r="M26" i="95"/>
  <c r="L26" i="95"/>
  <c r="K26" i="95"/>
  <c r="J26" i="95"/>
  <c r="I26" i="95"/>
  <c r="N25" i="95"/>
  <c r="M25" i="95"/>
  <c r="L25" i="95"/>
  <c r="K25" i="95"/>
  <c r="J25" i="95"/>
  <c r="I25" i="95"/>
  <c r="N24" i="95"/>
  <c r="M24" i="95"/>
  <c r="L24" i="95"/>
  <c r="K24" i="95"/>
  <c r="J24" i="95"/>
  <c r="I24" i="95"/>
  <c r="N23" i="95"/>
  <c r="M23" i="95"/>
  <c r="L23" i="95"/>
  <c r="K23" i="95"/>
  <c r="J23" i="95"/>
  <c r="I23" i="95"/>
  <c r="N22" i="95"/>
  <c r="M22" i="95"/>
  <c r="L22" i="95"/>
  <c r="K22" i="95"/>
  <c r="J22" i="95"/>
  <c r="I22" i="95"/>
  <c r="N21" i="95"/>
  <c r="M21" i="95"/>
  <c r="L21" i="95"/>
  <c r="K21" i="95"/>
  <c r="J21" i="95"/>
  <c r="I21" i="95"/>
  <c r="N16" i="95"/>
  <c r="M16" i="95"/>
  <c r="L16" i="95"/>
  <c r="K16" i="95"/>
  <c r="J16" i="95"/>
  <c r="I16" i="95"/>
  <c r="N15" i="95"/>
  <c r="L15" i="95"/>
  <c r="K15" i="95"/>
  <c r="J15" i="95"/>
  <c r="I15" i="95"/>
  <c r="N14" i="95"/>
  <c r="L14" i="95"/>
  <c r="K14" i="95"/>
  <c r="J14" i="95"/>
  <c r="I14" i="95"/>
  <c r="N13" i="95"/>
  <c r="M13" i="95"/>
  <c r="L13" i="95"/>
  <c r="K13" i="95"/>
  <c r="J13" i="95"/>
  <c r="I13" i="95"/>
  <c r="N12" i="95"/>
  <c r="M12" i="95"/>
  <c r="L12" i="95"/>
  <c r="K12" i="95"/>
  <c r="J12" i="95"/>
  <c r="I12" i="95"/>
  <c r="N11" i="95"/>
  <c r="M11" i="95"/>
  <c r="L11" i="95"/>
  <c r="K11" i="95"/>
  <c r="J11" i="95"/>
  <c r="I11" i="95"/>
  <c r="N10" i="95"/>
  <c r="M10" i="95"/>
  <c r="L10" i="95"/>
  <c r="K10" i="95"/>
  <c r="J10" i="95"/>
  <c r="I10" i="95"/>
  <c r="N9" i="95"/>
  <c r="M9" i="95"/>
  <c r="L9" i="95"/>
  <c r="K9" i="95"/>
  <c r="J9" i="95"/>
  <c r="I9" i="95"/>
  <c r="N8" i="95"/>
  <c r="M8" i="95"/>
  <c r="L8" i="95"/>
  <c r="K8" i="95"/>
  <c r="J8" i="95"/>
  <c r="I8" i="95"/>
  <c r="N7" i="95"/>
  <c r="M7" i="95"/>
  <c r="L7" i="95"/>
  <c r="K7" i="95"/>
  <c r="I7" i="95"/>
  <c r="O12" i="94"/>
  <c r="N12" i="94"/>
  <c r="M12" i="94"/>
  <c r="L12" i="94"/>
  <c r="K12" i="94"/>
  <c r="J12" i="94"/>
  <c r="O11" i="94"/>
  <c r="N11" i="94"/>
  <c r="M11" i="94"/>
  <c r="L11" i="94"/>
  <c r="K11" i="94"/>
  <c r="J11" i="94"/>
  <c r="O10" i="94"/>
  <c r="N10" i="94"/>
  <c r="M10" i="94"/>
  <c r="L10" i="94"/>
  <c r="K10" i="94"/>
  <c r="J10" i="94"/>
  <c r="O9" i="94"/>
  <c r="N9" i="94"/>
  <c r="M9" i="94"/>
  <c r="L9" i="94"/>
  <c r="K9" i="94"/>
  <c r="J9" i="94"/>
  <c r="O8" i="94"/>
  <c r="N8" i="94"/>
  <c r="M8" i="94"/>
  <c r="L8" i="94"/>
  <c r="K8" i="94"/>
  <c r="J8" i="94"/>
  <c r="O7" i="94"/>
  <c r="N7" i="94"/>
  <c r="M7" i="94"/>
  <c r="L7" i="94"/>
  <c r="K7" i="94"/>
  <c r="J7" i="94"/>
  <c r="O6" i="94"/>
  <c r="N6" i="94"/>
  <c r="M6" i="94"/>
  <c r="L6" i="94"/>
  <c r="K6" i="94"/>
  <c r="J6" i="94"/>
  <c r="O5" i="94"/>
  <c r="N5" i="94"/>
  <c r="M5" i="94"/>
  <c r="L5" i="94"/>
  <c r="K5" i="94"/>
  <c r="J5" i="94"/>
  <c r="O31" i="93"/>
  <c r="N31" i="93"/>
  <c r="M31" i="93"/>
  <c r="L31" i="93"/>
  <c r="K31" i="93"/>
  <c r="J31" i="93"/>
  <c r="O30" i="93"/>
  <c r="N30" i="93"/>
  <c r="M30" i="93"/>
  <c r="L30" i="93"/>
  <c r="K30" i="93"/>
  <c r="J30" i="93"/>
  <c r="O29" i="93"/>
  <c r="N29" i="93"/>
  <c r="M29" i="93"/>
  <c r="L29" i="93"/>
  <c r="K29" i="93"/>
  <c r="J29" i="93"/>
  <c r="O28" i="93"/>
  <c r="N28" i="93"/>
  <c r="M28" i="93"/>
  <c r="L28" i="93"/>
  <c r="K28" i="93"/>
  <c r="O27" i="93"/>
  <c r="N27" i="93"/>
  <c r="M27" i="93"/>
  <c r="L27" i="93"/>
  <c r="K27" i="93"/>
  <c r="J27" i="93"/>
  <c r="O26" i="93"/>
  <c r="N26" i="93"/>
  <c r="M26" i="93"/>
  <c r="L26" i="93"/>
  <c r="K26" i="93"/>
  <c r="O25" i="93"/>
  <c r="N25" i="93"/>
  <c r="M25" i="93"/>
  <c r="L25" i="93"/>
  <c r="K25" i="93"/>
  <c r="J25" i="93"/>
  <c r="O24" i="93"/>
  <c r="N24" i="93"/>
  <c r="M24" i="93"/>
  <c r="L24" i="93"/>
  <c r="K24" i="93"/>
  <c r="J24" i="93"/>
  <c r="O23" i="93"/>
  <c r="N23" i="93"/>
  <c r="M23" i="93"/>
  <c r="L23" i="93"/>
  <c r="K23" i="93"/>
  <c r="O22" i="93"/>
  <c r="N22" i="93"/>
  <c r="M22" i="93"/>
  <c r="L22" i="93"/>
  <c r="K22" i="93"/>
  <c r="J22" i="93"/>
  <c r="O21" i="93"/>
  <c r="N21" i="93"/>
  <c r="M21" i="93"/>
  <c r="L21" i="93"/>
  <c r="K21" i="93"/>
  <c r="J21" i="93"/>
  <c r="O20" i="93"/>
  <c r="N20" i="93"/>
  <c r="M20" i="93"/>
  <c r="L20" i="93"/>
  <c r="K20" i="93"/>
  <c r="J20" i="93"/>
  <c r="O19" i="93"/>
  <c r="N19" i="93"/>
  <c r="M19" i="93"/>
  <c r="L19" i="93"/>
  <c r="K19" i="93"/>
  <c r="J19" i="93"/>
  <c r="O18" i="93"/>
  <c r="N18" i="93"/>
  <c r="M18" i="93"/>
  <c r="L18" i="93"/>
  <c r="K18" i="93"/>
  <c r="J18" i="93"/>
  <c r="O17" i="93"/>
  <c r="N17" i="93"/>
  <c r="M17" i="93"/>
  <c r="L17" i="93"/>
  <c r="K17" i="93"/>
  <c r="J17" i="93"/>
  <c r="O16" i="93"/>
  <c r="N16" i="93"/>
  <c r="M16" i="93"/>
  <c r="L16" i="93"/>
  <c r="K16" i="93"/>
  <c r="J16" i="93"/>
  <c r="O15" i="93"/>
  <c r="N15" i="93"/>
  <c r="M15" i="93"/>
  <c r="L15" i="93"/>
  <c r="K15" i="93"/>
  <c r="J15" i="93"/>
  <c r="O14" i="93"/>
  <c r="N14" i="93"/>
  <c r="M14" i="93"/>
  <c r="L14" i="93"/>
  <c r="K14" i="93"/>
  <c r="J14" i="93"/>
  <c r="O13" i="93"/>
  <c r="N13" i="93"/>
  <c r="M13" i="93"/>
  <c r="L13" i="93"/>
  <c r="K13" i="93"/>
  <c r="J13" i="93"/>
  <c r="O12" i="93"/>
  <c r="N12" i="93"/>
  <c r="M12" i="93"/>
  <c r="K12" i="93"/>
  <c r="J12" i="93"/>
  <c r="O11" i="93"/>
  <c r="N11" i="93"/>
  <c r="M11" i="93"/>
  <c r="L11" i="93"/>
  <c r="K11" i="93"/>
  <c r="J11" i="93"/>
  <c r="O10" i="93"/>
  <c r="N10" i="93"/>
  <c r="M10" i="93"/>
  <c r="L10" i="93"/>
  <c r="K10" i="93"/>
  <c r="J10" i="93"/>
  <c r="O9" i="93"/>
  <c r="N9" i="93"/>
  <c r="M9" i="93"/>
  <c r="L9" i="93"/>
  <c r="K9" i="93"/>
  <c r="J9" i="93"/>
  <c r="O8" i="93"/>
  <c r="N8" i="93"/>
  <c r="M8" i="93"/>
  <c r="L8" i="93"/>
  <c r="K8" i="93"/>
  <c r="J8" i="93"/>
  <c r="O7" i="93"/>
  <c r="N7" i="93"/>
  <c r="M7" i="93"/>
  <c r="L7" i="93"/>
  <c r="K7" i="93"/>
  <c r="J7" i="93"/>
  <c r="O6" i="93"/>
  <c r="N6" i="93"/>
  <c r="M6" i="93"/>
  <c r="L6" i="93"/>
  <c r="K6" i="93"/>
  <c r="M28" i="91" l="1"/>
  <c r="N17" i="91"/>
  <c r="O17" i="91"/>
  <c r="M20" i="91"/>
  <c r="M24" i="91"/>
  <c r="M27" i="91"/>
  <c r="M19" i="91"/>
  <c r="M23" i="91"/>
  <c r="M26" i="91"/>
  <c r="M22" i="91"/>
  <c r="M18" i="91"/>
  <c r="M21" i="91"/>
  <c r="M25" i="91"/>
  <c r="N18" i="91" l="1"/>
  <c r="O18" i="91"/>
  <c r="O22" i="91"/>
  <c r="N22" i="91"/>
  <c r="O23" i="91"/>
  <c r="N23" i="91"/>
  <c r="N19" i="91"/>
  <c r="O19" i="91"/>
  <c r="O27" i="91"/>
  <c r="N27" i="91"/>
  <c r="O24" i="91"/>
  <c r="N24" i="91"/>
  <c r="N20" i="91"/>
  <c r="O20" i="91"/>
  <c r="N25" i="91"/>
  <c r="O25" i="91"/>
  <c r="O26" i="91"/>
  <c r="N26" i="91"/>
  <c r="O21" i="91"/>
  <c r="N21" i="91"/>
  <c r="M37" i="89"/>
  <c r="M36" i="89"/>
  <c r="M35" i="89"/>
  <c r="M34" i="89"/>
  <c r="M33" i="89"/>
  <c r="M32" i="89"/>
  <c r="M31" i="89"/>
  <c r="M30" i="89"/>
  <c r="M29" i="89"/>
  <c r="M28" i="89"/>
  <c r="M27" i="89"/>
  <c r="M26" i="89"/>
  <c r="N34" i="89" l="1"/>
  <c r="O34" i="89"/>
  <c r="N35" i="89"/>
  <c r="O35" i="89"/>
  <c r="N36" i="89"/>
  <c r="O36" i="89"/>
  <c r="N37" i="89"/>
  <c r="O37" i="89"/>
  <c r="N32" i="89"/>
  <c r="O32" i="89"/>
  <c r="O30" i="89"/>
  <c r="N30" i="89"/>
  <c r="N31" i="89"/>
  <c r="O31" i="89"/>
  <c r="N33" i="89"/>
  <c r="O33" i="89"/>
  <c r="N26" i="89"/>
  <c r="O26" i="89"/>
  <c r="N27" i="89"/>
  <c r="O27" i="89"/>
  <c r="N28" i="89"/>
  <c r="O29" i="89"/>
  <c r="N29" i="89"/>
  <c r="M8" i="88"/>
  <c r="N11" i="87"/>
  <c r="N8" i="87"/>
  <c r="M20" i="85"/>
  <c r="N20" i="85" s="1"/>
  <c r="N12" i="85"/>
  <c r="N11" i="85"/>
  <c r="N10" i="85"/>
  <c r="N9" i="85"/>
  <c r="N8" i="85"/>
  <c r="N7" i="85"/>
  <c r="M13" i="84"/>
  <c r="M14" i="84"/>
  <c r="O14" i="84" s="1"/>
  <c r="M13" i="83"/>
  <c r="N27" i="82"/>
  <c r="N26" i="82"/>
  <c r="N25" i="82"/>
  <c r="N24" i="82"/>
  <c r="N23" i="82"/>
  <c r="N22" i="82"/>
  <c r="N21" i="82"/>
  <c r="N20" i="82"/>
  <c r="N19" i="82"/>
  <c r="N18" i="82"/>
  <c r="N17" i="82"/>
  <c r="N16" i="82"/>
  <c r="N15" i="82"/>
  <c r="N14" i="82"/>
  <c r="N13" i="82"/>
  <c r="N12" i="82"/>
  <c r="N11" i="82"/>
  <c r="N10" i="82"/>
  <c r="N9" i="82"/>
  <c r="N8" i="82"/>
  <c r="N7" i="82"/>
  <c r="N6" i="82"/>
  <c r="N5" i="82"/>
  <c r="N4" i="82"/>
  <c r="O20" i="85" l="1"/>
  <c r="O13" i="84"/>
  <c r="N13" i="84"/>
  <c r="N14" i="84"/>
  <c r="P11" i="87"/>
  <c r="O11" i="87"/>
  <c r="P8" i="87"/>
  <c r="O8" i="87"/>
  <c r="N8" i="88"/>
  <c r="O8" i="88"/>
  <c r="N14" i="87"/>
  <c r="N17" i="87"/>
  <c r="M12" i="88"/>
  <c r="M15" i="88"/>
  <c r="N13" i="87"/>
  <c r="M18" i="85"/>
  <c r="M19" i="85"/>
  <c r="M14" i="85"/>
  <c r="N14" i="85" s="1"/>
  <c r="M15" i="85"/>
  <c r="M12" i="83"/>
  <c r="O12" i="83" s="1"/>
  <c r="M11" i="83"/>
  <c r="N11" i="83" s="1"/>
  <c r="M10" i="83"/>
  <c r="M14" i="88"/>
  <c r="M13" i="88"/>
  <c r="M17" i="88"/>
  <c r="N12" i="87"/>
  <c r="N16" i="87"/>
  <c r="N15" i="87"/>
  <c r="N19" i="87"/>
  <c r="M21" i="85"/>
  <c r="N13" i="85"/>
  <c r="M16" i="85"/>
  <c r="M12" i="84"/>
  <c r="N12" i="84" s="1"/>
  <c r="M8" i="77"/>
  <c r="H15" i="78"/>
  <c r="G15" i="78"/>
  <c r="I21" i="78"/>
  <c r="H21" i="78"/>
  <c r="G21" i="78"/>
  <c r="H27" i="78"/>
  <c r="G27" i="78"/>
  <c r="N11" i="84" l="1"/>
  <c r="O11" i="84"/>
  <c r="O12" i="84"/>
  <c r="O11" i="83"/>
  <c r="O10" i="83"/>
  <c r="N10" i="83"/>
  <c r="N12" i="83"/>
  <c r="O8" i="77"/>
  <c r="N8" i="77"/>
  <c r="P18" i="87"/>
  <c r="O18" i="87"/>
  <c r="P17" i="87"/>
  <c r="O17" i="87"/>
  <c r="O14" i="87"/>
  <c r="P14" i="87"/>
  <c r="O15" i="87"/>
  <c r="P13" i="87"/>
  <c r="P12" i="87"/>
  <c r="O12" i="87"/>
  <c r="O11" i="88"/>
  <c r="N11" i="88"/>
  <c r="O17" i="88"/>
  <c r="N17" i="88"/>
  <c r="N13" i="88"/>
  <c r="O13" i="88"/>
  <c r="O16" i="88"/>
  <c r="N16" i="88"/>
  <c r="O14" i="88"/>
  <c r="N14" i="88"/>
  <c r="O15" i="88"/>
  <c r="N15" i="88"/>
  <c r="N12" i="88"/>
  <c r="O12" i="88"/>
  <c r="O16" i="85"/>
  <c r="N16" i="85"/>
  <c r="N15" i="85"/>
  <c r="O15" i="85"/>
  <c r="N19" i="85"/>
  <c r="O19" i="85"/>
  <c r="O17" i="85"/>
  <c r="N17" i="85"/>
  <c r="O14" i="85"/>
  <c r="O18" i="85"/>
  <c r="N18" i="85"/>
  <c r="H28" i="78"/>
  <c r="G28" i="78"/>
  <c r="H26" i="78"/>
  <c r="G26" i="78"/>
  <c r="H25" i="78"/>
  <c r="G25" i="78"/>
  <c r="H24" i="78"/>
  <c r="G24" i="78"/>
  <c r="I22" i="78"/>
  <c r="H22" i="78"/>
  <c r="G22" i="78"/>
  <c r="I20" i="78"/>
  <c r="H20" i="78"/>
  <c r="G20" i="78"/>
  <c r="I19" i="78"/>
  <c r="H19" i="78"/>
  <c r="G19" i="78"/>
  <c r="I18" i="78"/>
  <c r="H18" i="78"/>
  <c r="G18" i="78"/>
  <c r="H16" i="78"/>
  <c r="G16" i="78"/>
  <c r="H14" i="78"/>
  <c r="G14" i="78"/>
  <c r="H13" i="78"/>
  <c r="G13" i="78"/>
  <c r="H12" i="78"/>
  <c r="G12" i="78"/>
</calcChain>
</file>

<file path=xl/sharedStrings.xml><?xml version="1.0" encoding="utf-8"?>
<sst xmlns="http://schemas.openxmlformats.org/spreadsheetml/2006/main" count="1603" uniqueCount="356">
  <si>
    <t>Chapter 7: Children in the youth secure estate</t>
  </si>
  <si>
    <t>Title</t>
  </si>
  <si>
    <t>Children in custody</t>
  </si>
  <si>
    <t>Table 7.1</t>
  </si>
  <si>
    <t>Table 7.2</t>
  </si>
  <si>
    <t>Table 7.4</t>
  </si>
  <si>
    <t>Table 7.5</t>
  </si>
  <si>
    <t>Table 7.6</t>
  </si>
  <si>
    <t>Table 7.7</t>
  </si>
  <si>
    <t>Table 7.8</t>
  </si>
  <si>
    <t>Table 7.9</t>
  </si>
  <si>
    <t>Table 7.11</t>
  </si>
  <si>
    <t>Table 7.12</t>
  </si>
  <si>
    <t>Table 7.13</t>
  </si>
  <si>
    <t>Characteristics of custodial episodes ending</t>
  </si>
  <si>
    <t>Length of custodial episodes</t>
  </si>
  <si>
    <t xml:space="preserve">Source: </t>
  </si>
  <si>
    <t>Notes</t>
  </si>
  <si>
    <t>Youth Custody Data</t>
  </si>
  <si>
    <t>Sector</t>
  </si>
  <si>
    <t>Secure Training Centres</t>
  </si>
  <si>
    <t>Young Offender Institutions</t>
  </si>
  <si>
    <t>Apr</t>
  </si>
  <si>
    <t>May</t>
  </si>
  <si>
    <t>Jun</t>
  </si>
  <si>
    <t>Jul</t>
  </si>
  <si>
    <t>Aug</t>
  </si>
  <si>
    <t>Sep</t>
  </si>
  <si>
    <t>Oct</t>
  </si>
  <si>
    <t>Nov</t>
  </si>
  <si>
    <t>Dec</t>
  </si>
  <si>
    <t>Jan</t>
  </si>
  <si>
    <t>Feb</t>
  </si>
  <si>
    <t>Mar</t>
  </si>
  <si>
    <t>Average monthly population</t>
  </si>
  <si>
    <t/>
  </si>
  <si>
    <t>Total</t>
  </si>
  <si>
    <t>..</t>
  </si>
  <si>
    <t>Remand</t>
  </si>
  <si>
    <t>DTO</t>
  </si>
  <si>
    <t>For more information, see:</t>
  </si>
  <si>
    <t xml:space="preserve">Guide to Youth Justice Statistics </t>
  </si>
  <si>
    <t>Average number of children</t>
  </si>
  <si>
    <t>Under 18 custody population</t>
  </si>
  <si>
    <t>Offence group</t>
  </si>
  <si>
    <t>Domestic burglary</t>
  </si>
  <si>
    <t>Drugs</t>
  </si>
  <si>
    <t>Robbery</t>
  </si>
  <si>
    <t>Sexual offences</t>
  </si>
  <si>
    <t>Violence against the person</t>
  </si>
  <si>
    <t>0 to 24 miles</t>
  </si>
  <si>
    <t>25 to 49 miles</t>
  </si>
  <si>
    <t>50 to 74 miles</t>
  </si>
  <si>
    <t>75 to 99 miles</t>
  </si>
  <si>
    <t>100+ miles</t>
  </si>
  <si>
    <t>Age</t>
  </si>
  <si>
    <t>15</t>
  </si>
  <si>
    <t>16</t>
  </si>
  <si>
    <t>17</t>
  </si>
  <si>
    <t>Sex</t>
  </si>
  <si>
    <t>Girls</t>
  </si>
  <si>
    <t>Boys</t>
  </si>
  <si>
    <t>Asian and Other</t>
  </si>
  <si>
    <t>Black</t>
  </si>
  <si>
    <t>Mixed</t>
  </si>
  <si>
    <t>White</t>
  </si>
  <si>
    <t>Unknown</t>
  </si>
  <si>
    <t>East Midlands</t>
  </si>
  <si>
    <t>Eastern</t>
  </si>
  <si>
    <t>London</t>
  </si>
  <si>
    <t>North East</t>
  </si>
  <si>
    <t>North West</t>
  </si>
  <si>
    <t>South East</t>
  </si>
  <si>
    <t>South West</t>
  </si>
  <si>
    <t>Wales</t>
  </si>
  <si>
    <t>West Midlands</t>
  </si>
  <si>
    <t>Yorkshire</t>
  </si>
  <si>
    <t>Ethnic minority groups</t>
  </si>
  <si>
    <t>ONS mid-year population estimates</t>
  </si>
  <si>
    <t>Female</t>
  </si>
  <si>
    <t>Male</t>
  </si>
  <si>
    <t>Change of Legal Basis</t>
  </si>
  <si>
    <t>Release to Community</t>
  </si>
  <si>
    <t>Release to a Mental Health Unit</t>
  </si>
  <si>
    <t>Transition to Over 18 Estate</t>
  </si>
  <si>
    <t>Ethnic minority groups Total</t>
  </si>
  <si>
    <t>White Total</t>
  </si>
  <si>
    <t>1 to 91 nights</t>
  </si>
  <si>
    <t>92 to 182 nights</t>
  </si>
  <si>
    <t>183 to 273 nights</t>
  </si>
  <si>
    <t>274 to 365 nights</t>
  </si>
  <si>
    <t>366 to 456 nights</t>
  </si>
  <si>
    <t>457 to 547 nights</t>
  </si>
  <si>
    <t>548 to 638 nights</t>
  </si>
  <si>
    <t>639 to 730 nights</t>
  </si>
  <si>
    <t>731+ nights</t>
  </si>
  <si>
    <t>Median number of nights</t>
  </si>
  <si>
    <t>1 to 7 nights</t>
  </si>
  <si>
    <t>8 to 14 nights</t>
  </si>
  <si>
    <t>15 to 21 nights</t>
  </si>
  <si>
    <t>22 to 28 nights</t>
  </si>
  <si>
    <t>29 to 35 nights</t>
  </si>
  <si>
    <t>36 to 42 nights</t>
  </si>
  <si>
    <t>43 to 49 nights</t>
  </si>
  <si>
    <t>50 to 56 nights</t>
  </si>
  <si>
    <t>57 to 63 nights</t>
  </si>
  <si>
    <t>64 to 70 nights</t>
  </si>
  <si>
    <t>71 to 77 nights</t>
  </si>
  <si>
    <t>78 to 84 nights</t>
  </si>
  <si>
    <t>85 to 91 nights</t>
  </si>
  <si>
    <t>274+ nights</t>
  </si>
  <si>
    <t>274+ mights</t>
  </si>
  <si>
    <t>Section 250</t>
  </si>
  <si>
    <t>2015</t>
  </si>
  <si>
    <t>2016</t>
  </si>
  <si>
    <t>2017</t>
  </si>
  <si>
    <t>2018</t>
  </si>
  <si>
    <t>2019</t>
  </si>
  <si>
    <t>2020</t>
  </si>
  <si>
    <t>2021</t>
  </si>
  <si>
    <t>2022</t>
  </si>
  <si>
    <t>This worksheet contains one table. Some cells refer to notes, which can be found in the notes worksheet.</t>
  </si>
  <si>
    <t>Distance from home band</t>
  </si>
  <si>
    <t>Remand - Asian and Other</t>
  </si>
  <si>
    <t>Remand - Black</t>
  </si>
  <si>
    <t>Remand - Mixed</t>
  </si>
  <si>
    <t>Remand - White</t>
  </si>
  <si>
    <t>DTO - Asian and Other</t>
  </si>
  <si>
    <t>DTO - Mixed</t>
  </si>
  <si>
    <t>DTO - White</t>
  </si>
  <si>
    <t>DTO - Black</t>
  </si>
  <si>
    <t>Unknown Total</t>
  </si>
  <si>
    <t>Number
2019</t>
  </si>
  <si>
    <t>Number
2020</t>
  </si>
  <si>
    <t>Number
2021</t>
  </si>
  <si>
    <t>Number
2022</t>
  </si>
  <si>
    <t>Proportion
2019</t>
  </si>
  <si>
    <t>Proportion
2020</t>
  </si>
  <si>
    <t>Proportion
2021</t>
  </si>
  <si>
    <t>Proportion
2022</t>
  </si>
  <si>
    <t>Proportion 2020</t>
  </si>
  <si>
    <t>Number of nights</t>
  </si>
  <si>
    <t>Table number</t>
  </si>
  <si>
    <t>This worksheet contains one table.</t>
  </si>
  <si>
    <t>Number</t>
  </si>
  <si>
    <t>Share of population refer to percentage point change.</t>
  </si>
  <si>
    <t>Share of population refers to percentage point change.</t>
  </si>
  <si>
    <t>Some cells have no available data. ".." = Not available.</t>
  </si>
  <si>
    <t>Characteristic</t>
  </si>
  <si>
    <t>Total age</t>
  </si>
  <si>
    <t>Total sex</t>
  </si>
  <si>
    <t>Proportion</t>
  </si>
  <si>
    <t>Average monthly number</t>
  </si>
  <si>
    <t>Proportions refer to percentage point change.</t>
  </si>
  <si>
    <t>Region</t>
  </si>
  <si>
    <t>Legal basis</t>
  </si>
  <si>
    <t>Legal basis end type</t>
  </si>
  <si>
    <t>Legal basis episodes ending</t>
  </si>
  <si>
    <t>White - Remand</t>
  </si>
  <si>
    <t>White - DTO</t>
  </si>
  <si>
    <t>Number or proportion</t>
  </si>
  <si>
    <t>Demographic group</t>
  </si>
  <si>
    <t>Demographic characteristic</t>
  </si>
  <si>
    <t>Characteristic group</t>
  </si>
  <si>
    <t>2023</t>
  </si>
  <si>
    <t>s250 - Asian and Other</t>
  </si>
  <si>
    <t>s250 - Black</t>
  </si>
  <si>
    <t>s250 - Mixed</t>
  </si>
  <si>
    <t>s250 - White</t>
  </si>
  <si>
    <t>Number
2023</t>
  </si>
  <si>
    <t>Proportion
2023</t>
  </si>
  <si>
    <t>Proportion 2023</t>
  </si>
  <si>
    <t>Number 2023</t>
  </si>
  <si>
    <t>Median number 
of nights</t>
  </si>
  <si>
    <t>Custody population (under 18 year olds only)</t>
  </si>
  <si>
    <t>Custody population (including 18 years and older)</t>
  </si>
  <si>
    <t>Custody population (18 years and older)</t>
  </si>
  <si>
    <t>Custody population</t>
  </si>
  <si>
    <t>Ethnic minority groups - Remand</t>
  </si>
  <si>
    <t>Ethnic minority groups - DTO</t>
  </si>
  <si>
    <t>Ethnic minority groups - Total</t>
  </si>
  <si>
    <t>Ethnic minority groups - Median nights</t>
  </si>
  <si>
    <t>White - Total</t>
  </si>
  <si>
    <t>White - Median nights</t>
  </si>
  <si>
    <t>10 to 14</t>
  </si>
  <si>
    <t xml:space="preserve">For more up to date information on the youth custody population, please see: </t>
  </si>
  <si>
    <t>Bespoke analysis of the Youth Justice Application Framework</t>
  </si>
  <si>
    <t>2024</t>
  </si>
  <si>
    <t>Minority ethnic groups</t>
  </si>
  <si>
    <t>Number
2024</t>
  </si>
  <si>
    <t>Number of unique children and young people</t>
  </si>
  <si>
    <t>Proportion
2024</t>
  </si>
  <si>
    <t>Number 2024</t>
  </si>
  <si>
    <t>Proportion 2024</t>
  </si>
  <si>
    <t>Some cells have no available data: ".." = Not available.</t>
  </si>
  <si>
    <t>Incident type</t>
  </si>
  <si>
    <t>Year ending March</t>
  </si>
  <si>
    <t>Number of incidents in year</t>
  </si>
  <si>
    <t>Number of incidents per 100 children and young adults in custody in year</t>
  </si>
  <si>
    <t>Use of force</t>
  </si>
  <si>
    <t>Table 7.20</t>
  </si>
  <si>
    <t>Table 7.3</t>
  </si>
  <si>
    <t>Self-harm</t>
  </si>
  <si>
    <t>Table 7.17</t>
  </si>
  <si>
    <t>Table 7.18</t>
  </si>
  <si>
    <t>Table 7.19</t>
  </si>
  <si>
    <t>Behaviour Management</t>
  </si>
  <si>
    <t>Note number</t>
  </si>
  <si>
    <t>Note text</t>
  </si>
  <si>
    <t>Between the years ending March 2018 and 2019, a change in data recording between administrative systems may account for the increase in the latter year.</t>
  </si>
  <si>
    <t>List of offence groups counted under "Other offences": Arson; Breach of bail; Breach of conditional discharge; Criminal damage; Death or injury by dangerous driving; Fraud and forgery; Motoring offences; Non domestic burglary; Other; Public order; Racially aggravated; Theft and handling stolen goods; Vehicle theft / unauthorised taking.</t>
  </si>
  <si>
    <t>Distance from home is measured in miles, as the crow flies, between the child's home to establishment.</t>
  </si>
  <si>
    <t>Excluding those whose youth justice service was unknown.</t>
  </si>
  <si>
    <t>Excludes legal basis episodes ending where the legal basis end type is unknown, death or absconded/escaped.</t>
  </si>
  <si>
    <t>Includes DTO Recalls.</t>
  </si>
  <si>
    <t>Excludes legal basis episodes ending where the child transferred to a mental health unit or absconded/escaped.</t>
  </si>
  <si>
    <t>Average daily population.</t>
  </si>
  <si>
    <t>For assaults, the number of unique children involved as assailants / fighters and the number of unique children involved as victims are both reported here.</t>
  </si>
  <si>
    <t>The way that assault incidents are reported changed in the year ending March 2019 for YOIs and the year ending March 2020 for SCHs and STCs to a count of incidents and participants rather than a count of violent acts. Earlier data are not published here as they are not directly comparable. Full details can be found in the Guide to Youth Justice Statistics.</t>
  </si>
  <si>
    <t>Data on separations in Young Offender Institutions is only available from April 2022 so the data reported here only includes SCHs and STCs.</t>
  </si>
  <si>
    <t>Includes legal episodes of young people aged 18 in the youth secure estate.</t>
  </si>
  <si>
    <t>The general population is based on ONS 2021 Census populations.</t>
  </si>
  <si>
    <t>Other Sentences include young people in custody on Non DTO Recalls, Section 90 / Section 259, Section 91 / Section 250, Section 226, Section 226b / Section 254, Section 228 and Breach of Gang Injunction (a civil tool). Gang injunctions for 14-17 year olds were implemented in December 2011.</t>
  </si>
  <si>
    <t>Youth custody population, under 18 and 18 years and older, years ending March 2015 to 2025</t>
  </si>
  <si>
    <t>Youth custody population, year on year monthly trends (under 18s only), years ending March 2001 to 2025</t>
  </si>
  <si>
    <t>Average monthly youth custody population by sector (under 18s only), years ending March 2015 to 2025</t>
  </si>
  <si>
    <t>Average monthly youth custody population by legal basis for detention (under 18s only), years ending March 2015 to 2025</t>
  </si>
  <si>
    <t>Average monthly youth custody population by primary offence group (under 18s only), years ending March 2015 to 2025</t>
  </si>
  <si>
    <t>Average youth custody population by distance from home bands (under 18s only), years ending March 2016 to 2025</t>
  </si>
  <si>
    <t>Average monthly youth custody population by age and sex (under 18s only), years ending March 2015 to 2025</t>
  </si>
  <si>
    <t>Average monthly youth custody population by region of home youth justice service (under 18s only), years ending March 2015 to 2025</t>
  </si>
  <si>
    <t>Average monthly youth custody population by region of home youth justice service and legal basis for detention (under 18s only), years ending March 2015 to 2025</t>
  </si>
  <si>
    <t>Legal basis episodes ending by nights, years ending March 2019 to 2025</t>
  </si>
  <si>
    <t>Legal basis episodes ending by legal basis type and nights, years ending March 2019 to 2025</t>
  </si>
  <si>
    <t>Legal basis episodes by legal basis end type and nights, years ending March 2019 to 2025</t>
  </si>
  <si>
    <t>Incidents of use of force, self-harm, assault and separation in the youth secure estate, years ending March 2020 to 2025</t>
  </si>
  <si>
    <t>2025</t>
  </si>
  <si>
    <t>Table 7.1: Youth custody population, under 18 and 18 years and older, years ending March 2015 to 2025</t>
  </si>
  <si>
    <t>% change March 2015 to March 2025</t>
  </si>
  <si>
    <t>% change March 2024 to March 2025</t>
  </si>
  <si>
    <t>Table 7.2: Youth custody population, year on year monthly trends (under 18s only), years ending March 2001 to 2025</t>
  </si>
  <si>
    <t>Table 7.7: Average monthly youth custody population by age and sex (under 18s only), years ending March 2015 to 2025</t>
  </si>
  <si>
    <t>Number
2025</t>
  </si>
  <si>
    <t>Proportion
2025</t>
  </si>
  <si>
    <t>Number 2025</t>
  </si>
  <si>
    <t>Proportion 2025</t>
  </si>
  <si>
    <t>Table 7.15a: Legal basis episodes ending (all legal basis episodes) by nights, years ending March 2019 to 2025</t>
  </si>
  <si>
    <t>Table 7.15b: Legal basis episodes ending (legal basis episodes less than 91 nights) by nights, years ending March 2019 to 2025</t>
  </si>
  <si>
    <t>2000/01</t>
  </si>
  <si>
    <t>Separation [note 20]</t>
  </si>
  <si>
    <t>Assault incident includes involvement as assailants / fighers and involvement as victims by children and young adults. [note 18][note 19]</t>
  </si>
  <si>
    <t>Number of unique children and young adults involved per year [assaults as assailants] [note 18]</t>
  </si>
  <si>
    <t>Number of unique children and young adults involved per year [assaults as victims][note 18]</t>
  </si>
  <si>
    <t>Number of incidents per child or young adult involved per year [assaults as assailants] [note 18]</t>
  </si>
  <si>
    <t>Number of incidents per child or young adult involved per year [assaults as victims] [note 18]</t>
  </si>
  <si>
    <t>Assault incident [note 18][note 19]</t>
  </si>
  <si>
    <t>Children and young adults average population [note 17]</t>
  </si>
  <si>
    <t>Tables 7.15: Legal basis episodes ending by nights, years ending March 2019 to 2025 [note 12]</t>
  </si>
  <si>
    <t>Table 7.12: Average monthly youth custody population by region of home Youth Justice Service and legal basis for detention (under 18s only), years ending March 2015 to 2025 [note 11]</t>
  </si>
  <si>
    <t>Proportion [note 9]</t>
  </si>
  <si>
    <t>Total [note 8]</t>
  </si>
  <si>
    <t>Proportion [note 7]</t>
  </si>
  <si>
    <t>Not known [note 6]</t>
  </si>
  <si>
    <t>Other offences [note 4]</t>
  </si>
  <si>
    <t>Table 7.5: Average monthly youth custody population by primary offence group (under 18s only), years ending March 2015 to 2025 [note 3][note 4]</t>
  </si>
  <si>
    <t>Breach of statutory order [note 3]</t>
  </si>
  <si>
    <t>Table 7.4: Average monthly youth custody population by legal basis for detention (under 18s only), years ending March 2015 to 2025 [note 2]</t>
  </si>
  <si>
    <t>Other sentences [note 2]</t>
  </si>
  <si>
    <t>Other - Asian and Other [note 2]</t>
  </si>
  <si>
    <t>Other - Black [note 2]</t>
  </si>
  <si>
    <t>Other - Mixed [note 2]</t>
  </si>
  <si>
    <t>Other - White [note 2]</t>
  </si>
  <si>
    <t>Other [note 2]</t>
  </si>
  <si>
    <t>Ethnic minority groups - Other [note 2]</t>
  </si>
  <si>
    <t>White - Other [note 2]</t>
  </si>
  <si>
    <t>Separation includes Secure Children's Homes and Secure Training Centres only. [note 1][note 20]</t>
  </si>
  <si>
    <t>DTO = Detention and Training Order; s250 = Section 250</t>
  </si>
  <si>
    <t>DTO = Detention and Training Order</t>
  </si>
  <si>
    <t>Table 7.17: Legal basis episodes ending by legal basis type and nights, years ending March 2019 to 2025 [note 2][note 12][note 15]</t>
  </si>
  <si>
    <t>Table 7.19: Legal basis episodes by legal basis end type and nights, years ending March 2019 to 2025 [note 12][note 16]</t>
  </si>
  <si>
    <t>Some cells have no data. ".."= Not applicable</t>
  </si>
  <si>
    <t>Some cells have no data. ".." = Not applicable</t>
  </si>
  <si>
    <t>Average monthly youth custody population by ethnic group (under 18s only), years ending March 2015 to 2025</t>
  </si>
  <si>
    <t>Average monthly youth custody population by legal basis for detention and ethnic group (under 18s only), years ending March 2015 to 2025</t>
  </si>
  <si>
    <t>Average monthly youth custody population by region of home youth justice service and ethnic group (under 18s only), years ending March 2015 to 2025</t>
  </si>
  <si>
    <t>Legal basis episodes ending by ethnic group and legal basis type, years ending March 2019 to 2025</t>
  </si>
  <si>
    <t>Legal basis episodes ending by ethnic group and nights, years ending March 2019 to 2025</t>
  </si>
  <si>
    <t>Legal basis episodes ending by ethnic group, legal basis type and nights, years ending March 2019 to 2025</t>
  </si>
  <si>
    <t>Proportions are based on where ethnic group is known.</t>
  </si>
  <si>
    <t>Table 7.8: Average monthly youth custody population by ethnic group (under 18s only), years ending March 2015 to 2025</t>
  </si>
  <si>
    <t>Number ethnic group</t>
  </si>
  <si>
    <t>Proportion ethnic group [note 9]</t>
  </si>
  <si>
    <t>Table 7.9: Average monthly youth custody population by legal basis for detention and ethnic group (under 18s only), years ending March 2015 to 2025</t>
  </si>
  <si>
    <t>Legal basis and ethnic group</t>
  </si>
  <si>
    <t>Table 7.11: Average monthly youth custody population by region of home youth justice service and ethnic group (under 18s only), years ending March 2015 to 2025 [note 11]</t>
  </si>
  <si>
    <t>Table 7.13:  Legal basis episodes ending by sex, ethnic group, region of home Youth Justice Service, legal basis end type and custodial order type, years ending March 2019 to 2025 [note 2][note 12][note 13][note 14][note 15]</t>
  </si>
  <si>
    <t>Table 7.14: Legal basis episodes ending by ethnic group and legal basis type, years ending March 2019 to 2025 [note 2][note 12][note 13][note 15]</t>
  </si>
  <si>
    <t>Table 7.16: Legal basis episodes ending by ethnic group and nights, years ending March 2019 to 2025 [note 12][note 13]</t>
  </si>
  <si>
    <t>Table 7.16a: Legal basis episodes ending (for all legal basis episodes) by ethnic group and nights, years ending March 2019 to 2024 [note 13]</t>
  </si>
  <si>
    <t>Table 7.16b: Legal basis episodes ending (for legal basis episodes less than 91 nights) by ethnic group and nights, years ending March 2019 to 2024 [note 13]</t>
  </si>
  <si>
    <t>Table 7.18: Legal basis episodes ending by ethnic group, legal basis type and nights, years ending March 2019 to 2025 [note 2][note 12][note 13][note 15]</t>
  </si>
  <si>
    <t>Some cells have no data. ".." = Not applicable.</t>
  </si>
  <si>
    <t>Table 7.3: Average monthly youth custody population by sector (under 18s only), years ending March 2015 to 2025 [note 1]</t>
  </si>
  <si>
    <t>Secure Children's Homes [note 1]</t>
  </si>
  <si>
    <t>2024/25</t>
  </si>
  <si>
    <t>2001/02</t>
  </si>
  <si>
    <t>2002/03</t>
  </si>
  <si>
    <t>2003/04</t>
  </si>
  <si>
    <t>2004/05</t>
  </si>
  <si>
    <t>2023/24</t>
  </si>
  <si>
    <t>2022/23</t>
  </si>
  <si>
    <t>2021/22</t>
  </si>
  <si>
    <t>2005/06</t>
  </si>
  <si>
    <t>2006/07</t>
  </si>
  <si>
    <t>2007/08</t>
  </si>
  <si>
    <t>2008/09</t>
  </si>
  <si>
    <t>2009/10</t>
  </si>
  <si>
    <t>2010/11</t>
  </si>
  <si>
    <t>2011/12</t>
  </si>
  <si>
    <t>2012/13</t>
  </si>
  <si>
    <t>2013/14</t>
  </si>
  <si>
    <t>2014/15</t>
  </si>
  <si>
    <t>2015/16</t>
  </si>
  <si>
    <t>2016/17</t>
  </si>
  <si>
    <t>2017/18</t>
  </si>
  <si>
    <t>2018/19</t>
  </si>
  <si>
    <t>2019/20</t>
  </si>
  <si>
    <t>2020/21</t>
  </si>
  <si>
    <t>Financial Year</t>
  </si>
  <si>
    <t>Year ending
March 2025</t>
  </si>
  <si>
    <t>Tables 7.10: Average monthly youth custody population for Wales and English region of home Youth Justice Service (under 18s only), years ending March 2015 to 2025</t>
  </si>
  <si>
    <t>Table 7.10b: Rate per 10,000 of the 10 to 17 general population from Wales and English regions [note 10]</t>
  </si>
  <si>
    <t>Table 7.10a: Number and proportion of the average monthly youth custody population from Wales and English regions</t>
  </si>
  <si>
    <t>This worksheet contains one table and refers to numbers and proportions. Some cells refer to notes, which can be found in the notes worksheet.</t>
  </si>
  <si>
    <t>Ethnic group</t>
  </si>
  <si>
    <t>Legal Basis episodes ending by sex, ethnic group, region of home youth justice service, legal basis end type and custodial order type, years ending March 2019 to 2025</t>
  </si>
  <si>
    <t xml:space="preserve">Ethnic group </t>
  </si>
  <si>
    <t>Table 7.14</t>
  </si>
  <si>
    <t>Table 7.15a refers to legal basis episodes ending by nights; Table 7.15b refers to legal basis episodes for less than 91 nights.</t>
  </si>
  <si>
    <t xml:space="preserve">This worksheet contains two tables, seperated by blank cells. </t>
  </si>
  <si>
    <t>This worksheet contains two tables, seperated by blank cells. Some cells refer to notes, which can be found in the notes worksheet.</t>
  </si>
  <si>
    <t>Table 7.16a refers to all legal basis episodes ending by nights and ethnic group; Table 7.16b refers to legal basis episodes for less than 91 nights by ethnic group.</t>
  </si>
  <si>
    <t>Table 7.20: Incidents of use of force, self-harm, assault and separation in the youth secure estate, years ending March 2020 to 2025 [note 17][note 18][note 19][note 20]</t>
  </si>
  <si>
    <t>Table 7.6: Average youth custody population by distance from home bands (under 18s only), years ending March 2016 to 2025 [note 5][note 6][note 7]</t>
  </si>
  <si>
    <t>The share of the total is based on where distance from home band is known. In the year ending March 2025, the distance from home band was not known for 2% of children in the youth secure estate.</t>
  </si>
  <si>
    <t>Including those whose ethnic group was unknown. In the year ending March 2025, the ethnic group was unknown for 3% of children in the youth secure estate.</t>
  </si>
  <si>
    <t>"% Change" for the change in proportion ethnic group refers to percentage point change.</t>
  </si>
  <si>
    <t>"% Change" for the change in proportions refers to percentage point change.</t>
  </si>
  <si>
    <t xml:space="preserve">Excludes legal basis episodes ending where the ethnic group is unknown. </t>
  </si>
  <si>
    <t>This worksheet contains one table and refers to notes throughout the chapter 7 supplementary tables.</t>
  </si>
  <si>
    <t>Ethnic group and Legal basis</t>
  </si>
  <si>
    <t>Due to data quality checks, the number of children in custody with missing distance from home band data is now much lower than at the beginning of the data series. Comparisons between years must be undertaken with care.</t>
  </si>
  <si>
    <t>Tables 7.10a and 7.10b</t>
  </si>
  <si>
    <t>Tables 7.15a and 7.15b</t>
  </si>
  <si>
    <t>Tables 7.16a and 7.16b</t>
  </si>
  <si>
    <t>Secure Children's Home population numbers include children placed in Oasis Secure School.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</si>
</sst>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_-;\-* #,##0_-;_-* &quot;-&quot;??_-;_-@_-"/>
    <numFmt numFmtId="165" formatCode="0.0"/>
    <numFmt numFmtId="166" formatCode="#,##0_ ;\-#,##0\ "/>
    <numFmt numFmtId="167" formatCode="&quot; &quot;#,##0&quot; &quot;;&quot;-&quot;#,##0&quot; &quot;;&quot; -&quot;00&quot; &quot;;&quot; &quot;@&quot; &quot;"/>
    <numFmt numFmtId="168" formatCode="&quot; &quot;#,##0.00&quot; &quot;;&quot;-&quot;#,##0.00&quot; &quot;;&quot; -&quot;00&quot; &quot;;&quot; &quot;@&quot; &quot;"/>
    <numFmt numFmtId="169" formatCode="#,##0.0"/>
  </numFmts>
  <fonts count="23" x14ac:knownFonts="1">
    <font>
      <sz val="12"/>
      <name val="Arial"/>
    </font>
    <font>
      <sz val="11"/>
      <color theme="1"/>
      <name val="Calibri"/>
      <family val="2"/>
      <scheme val="minor"/>
    </font>
    <font>
      <sz val="11"/>
      <color theme="1"/>
      <name val="Calibri"/>
      <family val="2"/>
      <scheme val="minor"/>
    </font>
    <font>
      <sz val="12"/>
      <name val="Arial"/>
      <family val="2"/>
    </font>
    <font>
      <b/>
      <sz val="12"/>
      <name val="Arial"/>
      <family val="2"/>
    </font>
    <font>
      <sz val="9"/>
      <name val="Calibri"/>
      <family val="2"/>
      <scheme val="minor"/>
    </font>
    <font>
      <b/>
      <sz val="11"/>
      <name val="Arial"/>
      <family val="2"/>
    </font>
    <font>
      <b/>
      <sz val="10"/>
      <name val="Arial"/>
      <family val="2"/>
    </font>
    <font>
      <sz val="10"/>
      <name val="Arial"/>
      <family val="2"/>
    </font>
    <font>
      <sz val="10"/>
      <color rgb="FF000000"/>
      <name val="Arial"/>
      <family val="2"/>
    </font>
    <font>
      <sz val="12"/>
      <color rgb="FF000000"/>
      <name val="Arial"/>
      <family val="2"/>
    </font>
    <font>
      <u/>
      <sz val="10"/>
      <name val="Arial"/>
      <family val="2"/>
    </font>
    <font>
      <sz val="11"/>
      <color rgb="FF000000"/>
      <name val="Calibri"/>
      <family val="2"/>
    </font>
    <font>
      <sz val="11"/>
      <color rgb="FFFFFFFF"/>
      <name val="Calibri"/>
      <family val="2"/>
    </font>
    <font>
      <sz val="11"/>
      <color rgb="FF006100"/>
      <name val="Calibri"/>
      <family val="2"/>
    </font>
    <font>
      <sz val="11"/>
      <color rgb="FF9C0006"/>
      <name val="Calibri"/>
      <family val="2"/>
    </font>
    <font>
      <u/>
      <sz val="12"/>
      <color rgb="FF0000FF"/>
      <name val="Arial"/>
      <family val="2"/>
    </font>
    <font>
      <b/>
      <sz val="12"/>
      <color rgb="FF000000"/>
      <name val="Arial"/>
      <family val="2"/>
    </font>
    <font>
      <sz val="11"/>
      <name val="Calibri"/>
      <family val="2"/>
      <scheme val="minor"/>
    </font>
    <font>
      <sz val="8"/>
      <name val="Arial"/>
      <family val="2"/>
    </font>
    <font>
      <b/>
      <sz val="10"/>
      <color theme="1"/>
      <name val="Arial"/>
      <family val="2"/>
    </font>
    <font>
      <sz val="10"/>
      <color theme="1"/>
      <name val="Arial"/>
      <family val="2"/>
    </font>
    <font>
      <u/>
      <sz val="10"/>
      <color theme="1"/>
      <name val="Arial"/>
      <family val="2"/>
    </font>
  </fonts>
  <fills count="6">
    <fill>
      <patternFill patternType="none"/>
    </fill>
    <fill>
      <patternFill patternType="gray125"/>
    </fill>
    <fill>
      <patternFill patternType="solid">
        <fgColor rgb="FFFFFFFF"/>
        <bgColor rgb="FFFFFFFF"/>
      </patternFill>
    </fill>
    <fill>
      <patternFill patternType="solid">
        <fgColor rgb="FFC6EFCE"/>
        <bgColor rgb="FFC6EFCE"/>
      </patternFill>
    </fill>
    <fill>
      <patternFill patternType="solid">
        <fgColor rgb="FFFFC7CE"/>
        <bgColor rgb="FFFFC7CE"/>
      </patternFill>
    </fill>
    <fill>
      <patternFill patternType="solid">
        <fgColor theme="2" tint="-9.9978637043366805E-2"/>
        <bgColor indexed="64"/>
      </patternFill>
    </fill>
  </fills>
  <borders count="17">
    <border>
      <left/>
      <right/>
      <top/>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right/>
      <top/>
      <bottom style="dashed">
        <color indexed="64"/>
      </bottom>
      <diagonal/>
    </border>
    <border>
      <left/>
      <right/>
      <top style="dashed">
        <color indexed="64"/>
      </top>
      <bottom style="dashed">
        <color indexed="64"/>
      </bottom>
      <diagonal/>
    </border>
    <border>
      <left/>
      <right/>
      <top/>
      <bottom style="thin">
        <color rgb="FF000000"/>
      </bottom>
      <diagonal/>
    </border>
    <border>
      <left/>
      <right/>
      <top style="thin">
        <color rgb="FF000000"/>
      </top>
      <bottom style="thin">
        <color rgb="FF000000"/>
      </bottom>
      <diagonal/>
    </border>
    <border>
      <left/>
      <right/>
      <top style="thin">
        <color rgb="FF000000"/>
      </top>
      <bottom/>
      <diagonal/>
    </border>
    <border>
      <left/>
      <right/>
      <top style="dashed">
        <color indexed="64"/>
      </top>
      <bottom/>
      <diagonal/>
    </border>
    <border>
      <left/>
      <right/>
      <top style="thin">
        <color indexed="64"/>
      </top>
      <bottom style="thin">
        <color rgb="FF000000"/>
      </bottom>
      <diagonal/>
    </border>
    <border>
      <left/>
      <right style="dashed">
        <color indexed="64"/>
      </right>
      <top/>
      <bottom/>
      <diagonal/>
    </border>
    <border>
      <left/>
      <right style="dashed">
        <color indexed="64"/>
      </right>
      <top/>
      <bottom style="thin">
        <color rgb="FF000000"/>
      </bottom>
      <diagonal/>
    </border>
    <border>
      <left/>
      <right style="dashed">
        <color indexed="64"/>
      </right>
      <top style="thin">
        <color indexed="64"/>
      </top>
      <bottom/>
      <diagonal/>
    </border>
    <border>
      <left/>
      <right style="dashed">
        <color indexed="64"/>
      </right>
      <top/>
      <bottom style="thin">
        <color indexed="64"/>
      </bottom>
      <diagonal/>
    </border>
    <border>
      <left/>
      <right style="dashed">
        <color indexed="64"/>
      </right>
      <top style="thin">
        <color rgb="FF000000"/>
      </top>
      <bottom style="thin">
        <color rgb="FF000000"/>
      </bottom>
      <diagonal/>
    </border>
    <border>
      <left/>
      <right style="dashed">
        <color indexed="64"/>
      </right>
      <top style="thin">
        <color rgb="FF000000"/>
      </top>
      <bottom/>
      <diagonal/>
    </border>
  </borders>
  <cellStyleXfs count="44">
    <xf numFmtId="0" fontId="0" fillId="0" borderId="0"/>
    <xf numFmtId="43" fontId="3" fillId="0" borderId="0" applyFont="0" applyFill="0" applyBorder="0" applyAlignment="0" applyProtection="0"/>
    <xf numFmtId="43" fontId="3" fillId="0" borderId="0" applyFont="0" applyFill="0" applyBorder="0" applyAlignment="0" applyProtection="0"/>
    <xf numFmtId="0" fontId="22" fillId="0" borderId="0" applyNumberFormat="0" applyFill="0" applyBorder="0" applyAlignment="0" applyProtection="0">
      <alignment vertical="top"/>
      <protection locked="0"/>
    </xf>
    <xf numFmtId="9" fontId="3" fillId="0" borderId="0" applyFont="0" applyFill="0" applyBorder="0" applyAlignment="0" applyProtection="0"/>
    <xf numFmtId="0" fontId="3" fillId="0" borderId="0"/>
    <xf numFmtId="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4" fillId="0" borderId="0" applyProtection="0">
      <alignment horizontal="left" vertical="top"/>
    </xf>
    <xf numFmtId="0" fontId="12" fillId="0" borderId="0"/>
    <xf numFmtId="9" fontId="12" fillId="0" borderId="0" applyFont="0" applyFill="0" applyBorder="0" applyAlignment="0" applyProtection="0"/>
    <xf numFmtId="0" fontId="13" fillId="2" borderId="0" applyNumberFormat="0" applyBorder="0" applyAlignment="0" applyProtection="0"/>
    <xf numFmtId="0" fontId="14" fillId="3" borderId="0" applyNumberFormat="0" applyBorder="0" applyAlignment="0" applyProtection="0"/>
    <xf numFmtId="0" fontId="15" fillId="4" borderId="0" applyNumberFormat="0" applyBorder="0" applyAlignment="0" applyProtection="0"/>
    <xf numFmtId="168" fontId="12" fillId="0" borderId="0" applyFont="0" applyFill="0" applyBorder="0" applyAlignment="0" applyProtection="0"/>
    <xf numFmtId="168" fontId="12" fillId="0" borderId="0" applyFont="0" applyFill="0" applyBorder="0" applyAlignment="0" applyProtection="0"/>
    <xf numFmtId="168" fontId="12" fillId="0" borderId="0" applyFont="0" applyFill="0" applyBorder="0" applyAlignment="0" applyProtection="0"/>
    <xf numFmtId="168" fontId="12" fillId="0" borderId="0" applyFont="0" applyFill="0" applyBorder="0" applyAlignment="0" applyProtection="0"/>
    <xf numFmtId="168" fontId="12" fillId="0" borderId="0" applyFont="0" applyFill="0" applyBorder="0" applyAlignment="0" applyProtection="0"/>
    <xf numFmtId="168" fontId="12" fillId="0" borderId="0" applyFont="0" applyFill="0" applyBorder="0" applyAlignment="0" applyProtection="0"/>
    <xf numFmtId="168" fontId="12" fillId="0" borderId="0" applyFont="0" applyFill="0" applyBorder="0" applyAlignment="0" applyProtection="0"/>
    <xf numFmtId="168" fontId="12" fillId="0" borderId="0" applyFont="0" applyFill="0" applyBorder="0" applyAlignment="0" applyProtection="0"/>
    <xf numFmtId="168" fontId="12" fillId="0" borderId="0" applyFont="0" applyFill="0" applyBorder="0" applyAlignment="0" applyProtection="0"/>
    <xf numFmtId="168" fontId="12" fillId="0" borderId="0" applyFont="0" applyFill="0" applyBorder="0" applyAlignment="0" applyProtection="0"/>
    <xf numFmtId="168" fontId="12" fillId="0" borderId="0" applyFont="0" applyFill="0" applyBorder="0" applyAlignment="0" applyProtection="0"/>
    <xf numFmtId="0" fontId="16" fillId="0" borderId="0" applyNumberFormat="0" applyFill="0" applyBorder="0" applyAlignment="0" applyProtection="0"/>
    <xf numFmtId="0" fontId="10" fillId="0" borderId="0" applyNumberFormat="0" applyBorder="0" applyProtection="0"/>
    <xf numFmtId="0" fontId="9" fillId="0" borderId="0" applyNumberFormat="0" applyBorder="0" applyProtection="0"/>
    <xf numFmtId="0" fontId="10" fillId="0" borderId="0" applyNumberFormat="0" applyBorder="0" applyProtection="0"/>
    <xf numFmtId="0" fontId="10" fillId="0" borderId="0" applyNumberFormat="0" applyBorder="0" applyProtection="0"/>
    <xf numFmtId="0" fontId="10" fillId="0" borderId="0" applyNumberFormat="0" applyBorder="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0" fontId="17" fillId="0" borderId="0" applyNumberFormat="0" applyBorder="0" applyProtection="0">
      <alignment horizontal="left" vertical="top"/>
    </xf>
    <xf numFmtId="0" fontId="2" fillId="0" borderId="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1" fillId="0" borderId="0"/>
    <xf numFmtId="0" fontId="22" fillId="0" borderId="0" applyNumberFormat="0" applyFill="0" applyBorder="0" applyAlignment="0" applyProtection="0"/>
  </cellStyleXfs>
  <cellXfs count="287">
    <xf numFmtId="0" fontId="0" fillId="0" borderId="0" xfId="0"/>
    <xf numFmtId="0" fontId="8" fillId="0" borderId="0" xfId="0" applyFont="1"/>
    <xf numFmtId="3" fontId="8" fillId="0" borderId="0" xfId="0" applyNumberFormat="1" applyFont="1"/>
    <xf numFmtId="0" fontId="7" fillId="0" borderId="0" xfId="0" applyFont="1" applyAlignment="1">
      <alignment horizontal="left" vertical="center"/>
    </xf>
    <xf numFmtId="0" fontId="3" fillId="0" borderId="0" xfId="0" applyFont="1"/>
    <xf numFmtId="3" fontId="8" fillId="0" borderId="0" xfId="0" applyNumberFormat="1" applyFont="1" applyAlignment="1">
      <alignment horizontal="right" vertical="center"/>
    </xf>
    <xf numFmtId="164" fontId="7" fillId="0" borderId="0" xfId="1" applyNumberFormat="1" applyFont="1" applyBorder="1" applyAlignment="1">
      <alignment horizontal="right" vertical="center"/>
    </xf>
    <xf numFmtId="164" fontId="8" fillId="0" borderId="0" xfId="1" applyNumberFormat="1" applyFont="1" applyBorder="1" applyAlignment="1">
      <alignment horizontal="right" vertical="center"/>
    </xf>
    <xf numFmtId="0" fontId="5" fillId="0" borderId="0" xfId="0" applyFont="1" applyAlignment="1">
      <alignment horizontal="right" vertical="center"/>
    </xf>
    <xf numFmtId="0" fontId="8" fillId="0" borderId="0" xfId="0" applyFont="1" applyAlignment="1">
      <alignment vertical="center"/>
    </xf>
    <xf numFmtId="0" fontId="8" fillId="0" borderId="3" xfId="0" applyFont="1" applyBorder="1" applyAlignment="1">
      <alignment horizontal="left" vertical="center"/>
    </xf>
    <xf numFmtId="9" fontId="8" fillId="0" borderId="0" xfId="4" applyFont="1"/>
    <xf numFmtId="0" fontId="8" fillId="0" borderId="0" xfId="0" applyFont="1" applyAlignment="1">
      <alignment horizontal="right" vertical="center"/>
    </xf>
    <xf numFmtId="9" fontId="8" fillId="0" borderId="0" xfId="4" applyFont="1" applyAlignment="1">
      <alignment horizontal="right" vertical="center"/>
    </xf>
    <xf numFmtId="0" fontId="4" fillId="0" borderId="0" xfId="0" applyFont="1" applyAlignment="1">
      <alignment vertical="center"/>
    </xf>
    <xf numFmtId="0" fontId="6" fillId="0" borderId="0" xfId="0" applyFont="1" applyAlignment="1">
      <alignment horizontal="center"/>
    </xf>
    <xf numFmtId="0" fontId="4" fillId="0" borderId="0" xfId="0" applyFont="1" applyAlignment="1">
      <alignment horizontal="left"/>
    </xf>
    <xf numFmtId="0" fontId="8" fillId="0" borderId="0" xfId="0" applyFont="1" applyAlignment="1">
      <alignment horizontal="center"/>
    </xf>
    <xf numFmtId="9" fontId="8" fillId="0" borderId="0" xfId="4" applyFont="1" applyBorder="1" applyAlignment="1">
      <alignment horizontal="right" vertical="center"/>
    </xf>
    <xf numFmtId="9" fontId="8" fillId="0" borderId="3" xfId="4" applyFont="1" applyBorder="1" applyAlignment="1">
      <alignment horizontal="right" vertical="center"/>
    </xf>
    <xf numFmtId="0" fontId="8" fillId="0" borderId="0" xfId="0" applyFont="1" applyAlignment="1">
      <alignment horizontal="left" vertical="center"/>
    </xf>
    <xf numFmtId="1" fontId="7" fillId="0" borderId="0" xfId="4" applyNumberFormat="1" applyFont="1" applyBorder="1" applyAlignment="1">
      <alignment horizontal="right" vertical="center"/>
    </xf>
    <xf numFmtId="0" fontId="8" fillId="0" borderId="0" xfId="0" applyFont="1" applyProtection="1">
      <protection locked="0"/>
    </xf>
    <xf numFmtId="0" fontId="8" fillId="0" borderId="0" xfId="0" applyFont="1" applyAlignment="1" applyProtection="1">
      <alignment horizontal="right" vertical="center"/>
      <protection locked="0"/>
    </xf>
    <xf numFmtId="1" fontId="8" fillId="0" borderId="0" xfId="1" applyNumberFormat="1" applyFont="1" applyBorder="1" applyAlignment="1">
      <alignment horizontal="right" vertical="center"/>
    </xf>
    <xf numFmtId="49" fontId="7" fillId="0" borderId="0" xfId="1" applyNumberFormat="1" applyFont="1" applyBorder="1" applyAlignment="1">
      <alignment horizontal="right" vertical="center"/>
    </xf>
    <xf numFmtId="0" fontId="8" fillId="0" borderId="0" xfId="5" applyFont="1"/>
    <xf numFmtId="1" fontId="8" fillId="0" borderId="0" xfId="5" applyNumberFormat="1" applyFont="1"/>
    <xf numFmtId="0" fontId="8" fillId="0" borderId="0" xfId="5" applyFont="1" applyAlignment="1">
      <alignment horizontal="right" vertical="center"/>
    </xf>
    <xf numFmtId="9" fontId="8" fillId="0" borderId="0" xfId="6" applyFont="1" applyFill="1" applyAlignment="1">
      <alignment horizontal="right" vertical="center"/>
    </xf>
    <xf numFmtId="9" fontId="8" fillId="0" borderId="0" xfId="6" applyFont="1" applyFill="1" applyBorder="1" applyAlignment="1">
      <alignment horizontal="right" vertical="center"/>
    </xf>
    <xf numFmtId="1" fontId="7" fillId="0" borderId="0" xfId="5" applyNumberFormat="1" applyFont="1"/>
    <xf numFmtId="1" fontId="8" fillId="0" borderId="0" xfId="5" applyNumberFormat="1" applyFont="1" applyAlignment="1">
      <alignment horizontal="right" vertical="center"/>
    </xf>
    <xf numFmtId="0" fontId="11" fillId="0" borderId="0" xfId="3" applyFont="1" applyAlignment="1" applyProtection="1">
      <alignment horizontal="left"/>
    </xf>
    <xf numFmtId="1" fontId="7" fillId="0" borderId="0" xfId="5" applyNumberFormat="1" applyFont="1" applyAlignment="1">
      <alignment horizontal="right" vertical="center"/>
    </xf>
    <xf numFmtId="0" fontId="6" fillId="0" borderId="0" xfId="0" applyFont="1" applyAlignment="1">
      <alignment horizontal="left"/>
    </xf>
    <xf numFmtId="0" fontId="11" fillId="0" borderId="0" xfId="3" applyFont="1" applyAlignment="1" applyProtection="1">
      <alignment vertical="center"/>
    </xf>
    <xf numFmtId="0" fontId="11" fillId="0" borderId="0" xfId="3" applyFont="1" applyFill="1" applyAlignment="1" applyProtection="1">
      <alignment vertical="center"/>
    </xf>
    <xf numFmtId="0" fontId="4" fillId="0" borderId="0" xfId="9">
      <alignment horizontal="left" vertical="top"/>
    </xf>
    <xf numFmtId="0" fontId="3" fillId="0" borderId="0" xfId="9" applyFont="1">
      <alignment horizontal="left" vertical="top"/>
    </xf>
    <xf numFmtId="0" fontId="7" fillId="0" borderId="1" xfId="0" applyFont="1" applyBorder="1" applyAlignment="1">
      <alignment horizontal="left" vertical="center"/>
    </xf>
    <xf numFmtId="0" fontId="8" fillId="0" borderId="0" xfId="0" applyFont="1" applyAlignment="1">
      <alignment horizontal="left" vertical="center" wrapText="1"/>
    </xf>
    <xf numFmtId="0" fontId="8" fillId="0" borderId="2" xfId="0" applyFont="1" applyBorder="1" applyAlignment="1">
      <alignment horizontal="left" vertical="center"/>
    </xf>
    <xf numFmtId="0" fontId="8" fillId="0" borderId="2" xfId="0" applyFont="1" applyBorder="1" applyAlignment="1">
      <alignment horizontal="left" vertical="center" wrapText="1"/>
    </xf>
    <xf numFmtId="0" fontId="7" fillId="0" borderId="1" xfId="0" applyFont="1" applyBorder="1" applyAlignment="1">
      <alignment horizontal="left" vertical="center" wrapText="1"/>
    </xf>
    <xf numFmtId="0" fontId="7" fillId="0" borderId="1" xfId="0" applyFont="1" applyBorder="1" applyAlignment="1">
      <alignment horizontal="right" vertical="center" wrapText="1"/>
    </xf>
    <xf numFmtId="9" fontId="7" fillId="0" borderId="0" xfId="4" applyFont="1" applyAlignment="1">
      <alignment horizontal="right" vertical="center"/>
    </xf>
    <xf numFmtId="0" fontId="8" fillId="0" borderId="2" xfId="0" applyFont="1" applyBorder="1"/>
    <xf numFmtId="3" fontId="8" fillId="0" borderId="2" xfId="0" applyNumberFormat="1" applyFont="1" applyBorder="1"/>
    <xf numFmtId="9" fontId="7" fillId="0" borderId="2" xfId="4" applyFont="1" applyBorder="1" applyAlignment="1">
      <alignment horizontal="right" vertical="center"/>
    </xf>
    <xf numFmtId="0" fontId="7" fillId="0" borderId="2" xfId="0" applyFont="1" applyBorder="1" applyAlignment="1">
      <alignment horizontal="right" vertical="center"/>
    </xf>
    <xf numFmtId="0" fontId="7" fillId="0" borderId="0" xfId="0" applyFont="1" applyAlignment="1">
      <alignment horizontal="right" vertical="center"/>
    </xf>
    <xf numFmtId="0" fontId="7" fillId="0" borderId="2" xfId="0" applyFont="1" applyBorder="1" applyAlignment="1">
      <alignment horizontal="left" vertical="center" wrapText="1"/>
    </xf>
    <xf numFmtId="9" fontId="7" fillId="0" borderId="0" xfId="4" applyFont="1" applyBorder="1" applyAlignment="1">
      <alignment horizontal="right" vertical="center"/>
    </xf>
    <xf numFmtId="3" fontId="8" fillId="0" borderId="2" xfId="0" applyNumberFormat="1" applyFont="1" applyBorder="1" applyAlignment="1">
      <alignment horizontal="right" vertical="center"/>
    </xf>
    <xf numFmtId="165" fontId="7" fillId="0" borderId="0" xfId="4" applyNumberFormat="1" applyFont="1" applyFill="1" applyBorder="1" applyAlignment="1">
      <alignment horizontal="right" vertical="center"/>
    </xf>
    <xf numFmtId="9" fontId="8" fillId="0" borderId="2" xfId="4" applyFont="1" applyBorder="1" applyAlignment="1">
      <alignment horizontal="right" vertical="center"/>
    </xf>
    <xf numFmtId="0" fontId="7" fillId="0" borderId="2" xfId="0" applyFont="1" applyBorder="1" applyAlignment="1">
      <alignment horizontal="left" vertical="center"/>
    </xf>
    <xf numFmtId="0" fontId="7" fillId="0" borderId="2" xfId="0" applyFont="1" applyBorder="1" applyAlignment="1">
      <alignment horizontal="right" vertical="center" wrapText="1"/>
    </xf>
    <xf numFmtId="0" fontId="8" fillId="0" borderId="0" xfId="0" applyFont="1" applyAlignment="1">
      <alignment horizontal="left"/>
    </xf>
    <xf numFmtId="1" fontId="8" fillId="0" borderId="4" xfId="1" applyNumberFormat="1" applyFont="1" applyBorder="1" applyAlignment="1">
      <alignment horizontal="right" vertical="center"/>
    </xf>
    <xf numFmtId="1" fontId="8" fillId="0" borderId="5" xfId="0" applyNumberFormat="1" applyFont="1" applyBorder="1" applyAlignment="1">
      <alignment horizontal="right" vertical="center"/>
    </xf>
    <xf numFmtId="0" fontId="7" fillId="0" borderId="2" xfId="0" applyFont="1" applyBorder="1" applyAlignment="1">
      <alignment horizontal="left"/>
    </xf>
    <xf numFmtId="3" fontId="7" fillId="0" borderId="2" xfId="0" applyNumberFormat="1" applyFont="1" applyBorder="1" applyAlignment="1">
      <alignment horizontal="right" vertical="center"/>
    </xf>
    <xf numFmtId="165" fontId="7" fillId="0" borderId="0" xfId="4" applyNumberFormat="1" applyFont="1" applyBorder="1" applyAlignment="1">
      <alignment horizontal="right" vertical="center"/>
    </xf>
    <xf numFmtId="9" fontId="8" fillId="0" borderId="4" xfId="4" applyFont="1" applyBorder="1" applyAlignment="1">
      <alignment horizontal="right" vertical="center"/>
    </xf>
    <xf numFmtId="9" fontId="8" fillId="0" borderId="9" xfId="4" applyFont="1" applyBorder="1" applyAlignment="1">
      <alignment horizontal="right" vertical="center"/>
    </xf>
    <xf numFmtId="3" fontId="8" fillId="0" borderId="3" xfId="0" applyNumberFormat="1" applyFont="1" applyBorder="1" applyAlignment="1">
      <alignment horizontal="right" vertical="center"/>
    </xf>
    <xf numFmtId="9" fontId="8" fillId="0" borderId="3" xfId="0" applyNumberFormat="1" applyFont="1" applyBorder="1" applyAlignment="1">
      <alignment horizontal="right" vertical="center"/>
    </xf>
    <xf numFmtId="165" fontId="7" fillId="0" borderId="0" xfId="4" applyNumberFormat="1" applyFont="1" applyAlignment="1">
      <alignment horizontal="right" vertical="center"/>
    </xf>
    <xf numFmtId="9" fontId="8" fillId="0" borderId="0" xfId="0" applyNumberFormat="1" applyFont="1" applyAlignment="1">
      <alignment horizontal="right" vertical="center"/>
    </xf>
    <xf numFmtId="17" fontId="7" fillId="0" borderId="2" xfId="0" applyNumberFormat="1" applyFont="1" applyBorder="1" applyAlignment="1">
      <alignment horizontal="left" vertical="center"/>
    </xf>
    <xf numFmtId="166" fontId="8" fillId="0" borderId="3" xfId="4" applyNumberFormat="1" applyFont="1" applyBorder="1" applyAlignment="1">
      <alignment horizontal="right" vertical="center"/>
    </xf>
    <xf numFmtId="166" fontId="8" fillId="0" borderId="3" xfId="4" applyNumberFormat="1" applyFont="1" applyFill="1" applyBorder="1" applyAlignment="1">
      <alignment horizontal="right" vertical="center"/>
    </xf>
    <xf numFmtId="166" fontId="8" fillId="0" borderId="0" xfId="4" applyNumberFormat="1" applyFont="1" applyBorder="1" applyAlignment="1">
      <alignment horizontal="right" vertical="center"/>
    </xf>
    <xf numFmtId="166" fontId="8" fillId="0" borderId="0" xfId="4" applyNumberFormat="1" applyFont="1" applyFill="1" applyBorder="1" applyAlignment="1">
      <alignment horizontal="right" vertical="center"/>
    </xf>
    <xf numFmtId="166" fontId="7" fillId="0" borderId="2" xfId="4" applyNumberFormat="1" applyFont="1" applyBorder="1" applyAlignment="1">
      <alignment horizontal="right" vertical="center"/>
    </xf>
    <xf numFmtId="0" fontId="4" fillId="0" borderId="0" xfId="9" applyProtection="1">
      <alignment horizontal="left" vertical="top"/>
      <protection locked="0"/>
    </xf>
    <xf numFmtId="0" fontId="3" fillId="0" borderId="0" xfId="0" applyFont="1" applyProtection="1">
      <protection locked="0"/>
    </xf>
    <xf numFmtId="166" fontId="8" fillId="0" borderId="0" xfId="1" applyNumberFormat="1" applyFont="1" applyBorder="1" applyAlignment="1" applyProtection="1">
      <alignment horizontal="right" vertical="center"/>
      <protection locked="0"/>
    </xf>
    <xf numFmtId="9" fontId="7" fillId="0" borderId="3" xfId="4" applyFont="1" applyBorder="1" applyAlignment="1" applyProtection="1">
      <alignment horizontal="right" vertical="center"/>
      <protection locked="0"/>
    </xf>
    <xf numFmtId="9" fontId="7" fillId="0" borderId="0" xfId="4" applyFont="1" applyBorder="1" applyAlignment="1" applyProtection="1">
      <alignment horizontal="right" vertical="center"/>
      <protection locked="0"/>
    </xf>
    <xf numFmtId="0" fontId="7" fillId="0" borderId="2" xfId="0" applyFont="1" applyBorder="1" applyAlignment="1" applyProtection="1">
      <alignment horizontal="left"/>
      <protection locked="0"/>
    </xf>
    <xf numFmtId="166" fontId="7" fillId="0" borderId="2" xfId="1" applyNumberFormat="1" applyFont="1" applyBorder="1" applyAlignment="1" applyProtection="1">
      <alignment horizontal="right" vertical="center"/>
      <protection locked="0"/>
    </xf>
    <xf numFmtId="9" fontId="7" fillId="0" borderId="2" xfId="4" applyFont="1" applyBorder="1" applyAlignment="1" applyProtection="1">
      <alignment horizontal="right" vertical="center"/>
      <protection locked="0"/>
    </xf>
    <xf numFmtId="9" fontId="8" fillId="0" borderId="0" xfId="1" applyNumberFormat="1" applyFont="1" applyBorder="1" applyAlignment="1" applyProtection="1">
      <alignment horizontal="right" vertical="center"/>
      <protection locked="0"/>
    </xf>
    <xf numFmtId="165" fontId="7" fillId="0" borderId="3" xfId="4" applyNumberFormat="1" applyFont="1" applyBorder="1" applyAlignment="1" applyProtection="1">
      <alignment horizontal="right" vertical="center"/>
      <protection locked="0"/>
    </xf>
    <xf numFmtId="165" fontId="7" fillId="0" borderId="0" xfId="4" applyNumberFormat="1" applyFont="1" applyBorder="1" applyAlignment="1" applyProtection="1">
      <alignment horizontal="right" vertical="center"/>
      <protection locked="0"/>
    </xf>
    <xf numFmtId="9" fontId="7" fillId="0" borderId="2" xfId="1" applyNumberFormat="1" applyFont="1" applyBorder="1" applyAlignment="1" applyProtection="1">
      <alignment horizontal="right" vertical="center"/>
      <protection locked="0"/>
    </xf>
    <xf numFmtId="165" fontId="7" fillId="0" borderId="2" xfId="4" applyNumberFormat="1" applyFont="1" applyBorder="1" applyAlignment="1" applyProtection="1">
      <alignment horizontal="right" vertical="center"/>
      <protection locked="0"/>
    </xf>
    <xf numFmtId="0" fontId="7" fillId="0" borderId="1" xfId="0" applyFont="1" applyBorder="1" applyAlignment="1">
      <alignment horizontal="right" vertical="center"/>
    </xf>
    <xf numFmtId="165" fontId="8" fillId="0" borderId="0" xfId="0" applyNumberFormat="1" applyFont="1" applyAlignment="1">
      <alignment horizontal="right" vertical="center"/>
    </xf>
    <xf numFmtId="0" fontId="7" fillId="0" borderId="0" xfId="0" applyFont="1" applyAlignment="1">
      <alignment horizontal="left"/>
    </xf>
    <xf numFmtId="165" fontId="7" fillId="0" borderId="0" xfId="0" applyNumberFormat="1" applyFont="1" applyAlignment="1">
      <alignment horizontal="right" vertical="center"/>
    </xf>
    <xf numFmtId="0" fontId="7" fillId="0" borderId="0" xfId="0" applyFont="1"/>
    <xf numFmtId="49" fontId="7" fillId="0" borderId="2" xfId="1" applyNumberFormat="1" applyFont="1" applyBorder="1" applyAlignment="1">
      <alignment horizontal="left" vertical="center" wrapText="1"/>
    </xf>
    <xf numFmtId="49" fontId="8" fillId="0" borderId="0" xfId="1" applyNumberFormat="1" applyFont="1" applyBorder="1" applyAlignment="1">
      <alignment horizontal="left" vertical="center"/>
    </xf>
    <xf numFmtId="49" fontId="7" fillId="0" borderId="2" xfId="1" applyNumberFormat="1" applyFont="1" applyBorder="1" applyAlignment="1">
      <alignment horizontal="left" vertical="center"/>
    </xf>
    <xf numFmtId="49" fontId="7" fillId="0" borderId="0" xfId="1" applyNumberFormat="1" applyFont="1" applyBorder="1" applyAlignment="1">
      <alignment horizontal="left" vertical="center"/>
    </xf>
    <xf numFmtId="0" fontId="3" fillId="0" borderId="0" xfId="5"/>
    <xf numFmtId="1" fontId="3" fillId="0" borderId="0" xfId="5" applyNumberFormat="1"/>
    <xf numFmtId="1" fontId="7" fillId="0" borderId="7" xfId="5" applyNumberFormat="1" applyFont="1" applyBorder="1" applyAlignment="1">
      <alignment horizontal="right" vertical="center" wrapText="1"/>
    </xf>
    <xf numFmtId="0" fontId="8" fillId="0" borderId="3" xfId="5" applyFont="1" applyBorder="1" applyAlignment="1">
      <alignment horizontal="left" vertical="center"/>
    </xf>
    <xf numFmtId="0" fontId="8" fillId="0" borderId="0" xfId="5" applyFont="1" applyAlignment="1">
      <alignment horizontal="left" vertical="center"/>
    </xf>
    <xf numFmtId="9" fontId="8" fillId="0" borderId="8" xfId="6" applyFont="1" applyFill="1" applyBorder="1" applyAlignment="1">
      <alignment horizontal="right" vertical="center"/>
    </xf>
    <xf numFmtId="0" fontId="7" fillId="0" borderId="0" xfId="5" applyFont="1" applyAlignment="1">
      <alignment horizontal="left" vertical="center"/>
    </xf>
    <xf numFmtId="3" fontId="7" fillId="0" borderId="6" xfId="5" applyNumberFormat="1" applyFont="1" applyBorder="1" applyAlignment="1">
      <alignment horizontal="right" vertical="center"/>
    </xf>
    <xf numFmtId="3" fontId="7" fillId="0" borderId="0" xfId="5" applyNumberFormat="1" applyFont="1" applyAlignment="1">
      <alignment horizontal="right" vertical="center"/>
    </xf>
    <xf numFmtId="9" fontId="7" fillId="0" borderId="6" xfId="6" applyFont="1" applyFill="1" applyBorder="1" applyAlignment="1">
      <alignment horizontal="right" vertical="center"/>
    </xf>
    <xf numFmtId="3" fontId="8" fillId="0" borderId="0" xfId="5" applyNumberFormat="1" applyFont="1" applyAlignment="1">
      <alignment horizontal="right" vertical="center"/>
    </xf>
    <xf numFmtId="3" fontId="8" fillId="0" borderId="3" xfId="5" applyNumberFormat="1" applyFont="1" applyBorder="1" applyAlignment="1">
      <alignment horizontal="right" vertical="center"/>
    </xf>
    <xf numFmtId="1" fontId="8" fillId="0" borderId="0" xfId="5" applyNumberFormat="1" applyFont="1" applyAlignment="1">
      <alignment horizontal="left" vertical="center"/>
    </xf>
    <xf numFmtId="1" fontId="7" fillId="0" borderId="0" xfId="5" applyNumberFormat="1" applyFont="1" applyAlignment="1">
      <alignment horizontal="left" vertical="center"/>
    </xf>
    <xf numFmtId="3" fontId="7" fillId="0" borderId="2" xfId="5" applyNumberFormat="1" applyFont="1" applyBorder="1" applyAlignment="1">
      <alignment horizontal="right" vertical="center"/>
    </xf>
    <xf numFmtId="9" fontId="7" fillId="0" borderId="0" xfId="5" applyNumberFormat="1" applyFont="1" applyAlignment="1">
      <alignment horizontal="right" vertical="center"/>
    </xf>
    <xf numFmtId="9" fontId="7" fillId="0" borderId="0" xfId="6" applyFont="1" applyFill="1" applyBorder="1" applyAlignment="1">
      <alignment horizontal="right" vertical="center"/>
    </xf>
    <xf numFmtId="9" fontId="8" fillId="0" borderId="3" xfId="6" applyFont="1" applyFill="1" applyBorder="1" applyAlignment="1">
      <alignment horizontal="right" vertical="center"/>
    </xf>
    <xf numFmtId="1" fontId="7" fillId="0" borderId="0" xfId="5" applyNumberFormat="1" applyFont="1" applyAlignment="1">
      <alignment horizontal="left" vertical="center" wrapText="1"/>
    </xf>
    <xf numFmtId="9" fontId="8" fillId="0" borderId="3" xfId="5" applyNumberFormat="1" applyFont="1" applyBorder="1" applyAlignment="1">
      <alignment horizontal="right" vertical="center"/>
    </xf>
    <xf numFmtId="1" fontId="7" fillId="0" borderId="6" xfId="5" applyNumberFormat="1" applyFont="1" applyBorder="1" applyAlignment="1">
      <alignment horizontal="left" vertical="center"/>
    </xf>
    <xf numFmtId="9" fontId="7" fillId="0" borderId="6" xfId="5" applyNumberFormat="1" applyFont="1" applyBorder="1" applyAlignment="1">
      <alignment horizontal="right" vertical="center"/>
    </xf>
    <xf numFmtId="1" fontId="7" fillId="0" borderId="3" xfId="5" applyNumberFormat="1" applyFont="1" applyBorder="1" applyAlignment="1">
      <alignment horizontal="left" vertical="center" wrapText="1"/>
    </xf>
    <xf numFmtId="1" fontId="7" fillId="0" borderId="2" xfId="5" applyNumberFormat="1" applyFont="1" applyBorder="1" applyAlignment="1">
      <alignment horizontal="left" vertical="center"/>
    </xf>
    <xf numFmtId="0" fontId="8" fillId="0" borderId="2" xfId="5" applyFont="1" applyBorder="1" applyAlignment="1">
      <alignment horizontal="right" vertical="center"/>
    </xf>
    <xf numFmtId="0" fontId="7" fillId="0" borderId="3" xfId="5" applyFont="1" applyBorder="1" applyAlignment="1">
      <alignment horizontal="left" vertical="center" wrapText="1"/>
    </xf>
    <xf numFmtId="0" fontId="7" fillId="0" borderId="1" xfId="5" applyFont="1" applyBorder="1" applyAlignment="1">
      <alignment horizontal="left" vertical="center" wrapText="1"/>
    </xf>
    <xf numFmtId="0" fontId="7" fillId="0" borderId="6" xfId="5" applyFont="1" applyBorder="1" applyAlignment="1">
      <alignment horizontal="left" vertical="center"/>
    </xf>
    <xf numFmtId="3" fontId="8" fillId="0" borderId="8" xfId="5" applyNumberFormat="1" applyFont="1" applyBorder="1" applyAlignment="1">
      <alignment horizontal="right" vertical="center"/>
    </xf>
    <xf numFmtId="1" fontId="7" fillId="0" borderId="6" xfId="5" applyNumberFormat="1" applyFont="1" applyBorder="1" applyAlignment="1">
      <alignment horizontal="right" vertical="center"/>
    </xf>
    <xf numFmtId="1" fontId="7" fillId="0" borderId="10" xfId="5" applyNumberFormat="1" applyFont="1" applyBorder="1" applyAlignment="1">
      <alignment horizontal="left" vertical="center" wrapText="1"/>
    </xf>
    <xf numFmtId="167" fontId="8" fillId="0" borderId="8" xfId="2" applyNumberFormat="1" applyFont="1" applyFill="1" applyBorder="1" applyAlignment="1">
      <alignment horizontal="right" vertical="center"/>
    </xf>
    <xf numFmtId="167" fontId="8" fillId="0" borderId="0" xfId="2" applyNumberFormat="1" applyFont="1" applyFill="1" applyBorder="1" applyAlignment="1">
      <alignment horizontal="right" vertical="center"/>
    </xf>
    <xf numFmtId="1" fontId="8" fillId="0" borderId="0" xfId="5" applyNumberFormat="1" applyFont="1" applyAlignment="1">
      <alignment horizontal="left"/>
    </xf>
    <xf numFmtId="1" fontId="7" fillId="0" borderId="0" xfId="5" applyNumberFormat="1" applyFont="1" applyAlignment="1">
      <alignment horizontal="center"/>
    </xf>
    <xf numFmtId="3" fontId="8" fillId="0" borderId="0" xfId="8" applyNumberFormat="1" applyFont="1" applyFill="1" applyAlignment="1">
      <alignment horizontal="right" vertical="center"/>
    </xf>
    <xf numFmtId="3" fontId="7" fillId="0" borderId="0" xfId="8" applyNumberFormat="1" applyFont="1" applyFill="1" applyBorder="1" applyAlignment="1">
      <alignment horizontal="right" vertical="center"/>
    </xf>
    <xf numFmtId="1" fontId="8" fillId="0" borderId="3" xfId="5" applyNumberFormat="1" applyFont="1" applyBorder="1"/>
    <xf numFmtId="3" fontId="8" fillId="0" borderId="3" xfId="8" applyNumberFormat="1" applyFont="1" applyFill="1" applyBorder="1" applyAlignment="1">
      <alignment horizontal="right" vertical="center"/>
    </xf>
    <xf numFmtId="1" fontId="7" fillId="0" borderId="6" xfId="5" applyNumberFormat="1" applyFont="1" applyBorder="1"/>
    <xf numFmtId="3" fontId="7" fillId="0" borderId="6" xfId="8" applyNumberFormat="1" applyFont="1" applyFill="1" applyBorder="1" applyAlignment="1">
      <alignment horizontal="right" vertical="center"/>
    </xf>
    <xf numFmtId="1" fontId="8" fillId="0" borderId="0" xfId="6" applyNumberFormat="1" applyFont="1" applyFill="1" applyAlignment="1">
      <alignment horizontal="left" vertical="top"/>
    </xf>
    <xf numFmtId="1" fontId="8" fillId="0" borderId="0" xfId="5" applyNumberFormat="1" applyFont="1" applyAlignment="1">
      <alignment horizontal="left" vertical="top"/>
    </xf>
    <xf numFmtId="1" fontId="7" fillId="0" borderId="0" xfId="6" applyNumberFormat="1" applyFont="1" applyFill="1" applyAlignment="1">
      <alignment horizontal="left" vertical="top"/>
    </xf>
    <xf numFmtId="1" fontId="7" fillId="0" borderId="6" xfId="5" applyNumberFormat="1" applyFont="1" applyBorder="1" applyAlignment="1">
      <alignment horizontal="left" vertical="top"/>
    </xf>
    <xf numFmtId="3" fontId="7" fillId="0" borderId="6" xfId="2" applyNumberFormat="1" applyFont="1" applyFill="1" applyBorder="1" applyAlignment="1">
      <alignment horizontal="right" vertical="center"/>
    </xf>
    <xf numFmtId="1" fontId="8" fillId="0" borderId="3" xfId="6" applyNumberFormat="1" applyFont="1" applyFill="1" applyBorder="1" applyAlignment="1">
      <alignment horizontal="left" vertical="top"/>
    </xf>
    <xf numFmtId="167" fontId="7" fillId="0" borderId="0" xfId="2" applyNumberFormat="1" applyFont="1" applyFill="1" applyBorder="1" applyAlignment="1">
      <alignment horizontal="right" vertical="center"/>
    </xf>
    <xf numFmtId="167" fontId="7" fillId="0" borderId="6" xfId="2" applyNumberFormat="1" applyFont="1" applyFill="1" applyBorder="1" applyAlignment="1">
      <alignment horizontal="right" vertical="center"/>
    </xf>
    <xf numFmtId="1" fontId="8" fillId="0" borderId="3" xfId="5" applyNumberFormat="1" applyFont="1" applyBorder="1" applyAlignment="1">
      <alignment horizontal="left" vertical="center"/>
    </xf>
    <xf numFmtId="1" fontId="7" fillId="0" borderId="2" xfId="5" applyNumberFormat="1" applyFont="1" applyBorder="1" applyAlignment="1">
      <alignment horizontal="right" vertical="center"/>
    </xf>
    <xf numFmtId="0" fontId="7" fillId="0" borderId="2" xfId="5" applyFont="1" applyBorder="1" applyAlignment="1">
      <alignment horizontal="right" vertical="center"/>
    </xf>
    <xf numFmtId="0" fontId="7" fillId="0" borderId="0" xfId="5" applyFont="1" applyAlignment="1">
      <alignment horizontal="right" vertical="center"/>
    </xf>
    <xf numFmtId="0" fontId="7" fillId="0" borderId="3" xfId="5" applyFont="1" applyBorder="1" applyAlignment="1">
      <alignment horizontal="left" vertical="center"/>
    </xf>
    <xf numFmtId="3" fontId="7" fillId="0" borderId="3" xfId="5" applyNumberFormat="1" applyFont="1" applyBorder="1" applyAlignment="1">
      <alignment horizontal="right" vertical="center"/>
    </xf>
    <xf numFmtId="9" fontId="7" fillId="0" borderId="3" xfId="6" applyFont="1" applyFill="1" applyBorder="1" applyAlignment="1">
      <alignment horizontal="right" vertical="center"/>
    </xf>
    <xf numFmtId="9" fontId="7" fillId="0" borderId="2" xfId="6" applyFont="1" applyFill="1" applyBorder="1" applyAlignment="1">
      <alignment horizontal="right" vertical="center"/>
    </xf>
    <xf numFmtId="167" fontId="7" fillId="0" borderId="2" xfId="2" applyNumberFormat="1" applyFont="1" applyFill="1" applyBorder="1" applyAlignment="1">
      <alignment horizontal="right" vertical="center"/>
    </xf>
    <xf numFmtId="1" fontId="7" fillId="0" borderId="2" xfId="6" applyNumberFormat="1" applyFont="1" applyFill="1" applyBorder="1" applyAlignment="1">
      <alignment horizontal="right" vertical="center"/>
    </xf>
    <xf numFmtId="0" fontId="2" fillId="0" borderId="0" xfId="37"/>
    <xf numFmtId="9" fontId="8" fillId="0" borderId="0" xfId="4" applyFont="1" applyBorder="1"/>
    <xf numFmtId="0" fontId="18" fillId="0" borderId="0" xfId="37" applyFont="1"/>
    <xf numFmtId="0" fontId="3" fillId="0" borderId="0" xfId="37" applyFont="1"/>
    <xf numFmtId="0" fontId="7" fillId="0" borderId="2" xfId="37" applyFont="1" applyBorder="1" applyAlignment="1">
      <alignment horizontal="left" vertical="center"/>
    </xf>
    <xf numFmtId="0" fontId="7" fillId="0" borderId="2" xfId="37" applyFont="1" applyBorder="1" applyAlignment="1">
      <alignment horizontal="left" vertical="center" wrapText="1"/>
    </xf>
    <xf numFmtId="0" fontId="7" fillId="0" borderId="2" xfId="37" applyFont="1" applyBorder="1" applyAlignment="1">
      <alignment horizontal="right" vertical="center" wrapText="1"/>
    </xf>
    <xf numFmtId="0" fontId="8" fillId="0" borderId="0" xfId="37" applyFont="1" applyAlignment="1">
      <alignment horizontal="left" vertical="center"/>
    </xf>
    <xf numFmtId="3" fontId="8" fillId="0" borderId="0" xfId="37" applyNumberFormat="1" applyFont="1" applyAlignment="1">
      <alignment horizontal="right" vertical="center"/>
    </xf>
    <xf numFmtId="3" fontId="8" fillId="5" borderId="0" xfId="37" applyNumberFormat="1" applyFont="1" applyFill="1" applyAlignment="1">
      <alignment horizontal="right" vertical="center"/>
    </xf>
    <xf numFmtId="165" fontId="8" fillId="0" borderId="0" xfId="37" applyNumberFormat="1" applyFont="1" applyAlignment="1">
      <alignment horizontal="right" vertical="center"/>
    </xf>
    <xf numFmtId="0" fontId="8" fillId="0" borderId="3" xfId="37" applyFont="1" applyBorder="1" applyAlignment="1">
      <alignment horizontal="left" vertical="center"/>
    </xf>
    <xf numFmtId="3" fontId="8" fillId="0" borderId="3" xfId="37" applyNumberFormat="1" applyFont="1" applyBorder="1" applyAlignment="1">
      <alignment horizontal="right" vertical="center"/>
    </xf>
    <xf numFmtId="3" fontId="8" fillId="5" borderId="3" xfId="37" applyNumberFormat="1" applyFont="1" applyFill="1" applyBorder="1" applyAlignment="1">
      <alignment horizontal="right" vertical="center"/>
    </xf>
    <xf numFmtId="0" fontId="8" fillId="0" borderId="2" xfId="37" applyFont="1" applyBorder="1" applyAlignment="1">
      <alignment horizontal="left" vertical="center"/>
    </xf>
    <xf numFmtId="3" fontId="8" fillId="0" borderId="2" xfId="37" applyNumberFormat="1" applyFont="1" applyBorder="1" applyAlignment="1">
      <alignment horizontal="right" vertical="center"/>
    </xf>
    <xf numFmtId="3" fontId="8" fillId="5" borderId="2" xfId="37" applyNumberFormat="1" applyFont="1" applyFill="1" applyBorder="1" applyAlignment="1">
      <alignment horizontal="right" vertical="center"/>
    </xf>
    <xf numFmtId="165" fontId="8" fillId="0" borderId="2" xfId="37" applyNumberFormat="1" applyFont="1" applyBorder="1" applyAlignment="1">
      <alignment horizontal="right" vertical="center"/>
    </xf>
    <xf numFmtId="165" fontId="8" fillId="0" borderId="3" xfId="37" applyNumberFormat="1" applyFont="1" applyBorder="1" applyAlignment="1">
      <alignment horizontal="right" vertical="center"/>
    </xf>
    <xf numFmtId="3" fontId="8" fillId="0" borderId="0" xfId="1" applyNumberFormat="1" applyFont="1" applyBorder="1" applyAlignment="1">
      <alignment horizontal="right" vertical="center"/>
    </xf>
    <xf numFmtId="1" fontId="8" fillId="0" borderId="0" xfId="2" applyNumberFormat="1" applyFont="1" applyBorder="1" applyAlignment="1">
      <alignment horizontal="right" vertical="center"/>
    </xf>
    <xf numFmtId="3" fontId="7" fillId="0" borderId="0" xfId="1" applyNumberFormat="1" applyFont="1" applyBorder="1" applyAlignment="1">
      <alignment horizontal="right" vertical="center"/>
    </xf>
    <xf numFmtId="49" fontId="8" fillId="0" borderId="3" xfId="1" applyNumberFormat="1" applyFont="1" applyBorder="1" applyAlignment="1">
      <alignment horizontal="left" vertical="center"/>
    </xf>
    <xf numFmtId="3" fontId="8" fillId="0" borderId="3" xfId="1" applyNumberFormat="1" applyFont="1" applyBorder="1" applyAlignment="1">
      <alignment horizontal="right" vertical="center"/>
    </xf>
    <xf numFmtId="1" fontId="8" fillId="0" borderId="3" xfId="2" applyNumberFormat="1" applyFont="1" applyBorder="1" applyAlignment="1">
      <alignment horizontal="right" vertical="center"/>
    </xf>
    <xf numFmtId="49" fontId="7" fillId="0" borderId="1" xfId="1" applyNumberFormat="1" applyFont="1" applyBorder="1" applyAlignment="1">
      <alignment horizontal="left" vertical="center"/>
    </xf>
    <xf numFmtId="3" fontId="7" fillId="0" borderId="1" xfId="1" applyNumberFormat="1" applyFont="1" applyBorder="1" applyAlignment="1">
      <alignment horizontal="right" vertical="center"/>
    </xf>
    <xf numFmtId="1" fontId="7" fillId="0" borderId="1" xfId="2" applyNumberFormat="1" applyFont="1" applyBorder="1" applyAlignment="1">
      <alignment horizontal="right" vertical="center"/>
    </xf>
    <xf numFmtId="164" fontId="8" fillId="0" borderId="3" xfId="1" applyNumberFormat="1" applyFont="1" applyBorder="1" applyAlignment="1">
      <alignment horizontal="right" vertical="center"/>
    </xf>
    <xf numFmtId="166" fontId="8" fillId="0" borderId="0" xfId="1" applyNumberFormat="1" applyFont="1" applyBorder="1" applyAlignment="1">
      <alignment horizontal="right" vertical="center"/>
    </xf>
    <xf numFmtId="165" fontId="7" fillId="0" borderId="3" xfId="4" applyNumberFormat="1" applyFont="1" applyFill="1" applyBorder="1" applyAlignment="1">
      <alignment horizontal="right" vertical="center"/>
    </xf>
    <xf numFmtId="165" fontId="7" fillId="0" borderId="2" xfId="4" applyNumberFormat="1" applyFont="1" applyFill="1" applyBorder="1" applyAlignment="1">
      <alignment horizontal="right" vertical="center"/>
    </xf>
    <xf numFmtId="1" fontId="7" fillId="0" borderId="0" xfId="0" applyNumberFormat="1" applyFont="1"/>
    <xf numFmtId="164" fontId="7" fillId="0" borderId="2" xfId="1" applyNumberFormat="1" applyFont="1" applyBorder="1" applyAlignment="1">
      <alignment horizontal="right" vertical="center"/>
    </xf>
    <xf numFmtId="0" fontId="7" fillId="0" borderId="2" xfId="0" applyFont="1" applyBorder="1" applyAlignment="1" applyProtection="1">
      <alignment horizontal="left" vertical="center" wrapText="1"/>
      <protection locked="0"/>
    </xf>
    <xf numFmtId="0" fontId="7" fillId="0" borderId="2" xfId="0" applyFont="1" applyBorder="1" applyAlignment="1" applyProtection="1">
      <alignment horizontal="right" vertical="center" wrapText="1"/>
      <protection locked="0"/>
    </xf>
    <xf numFmtId="0" fontId="7" fillId="0" borderId="0" xfId="0" applyFont="1" applyAlignment="1" applyProtection="1">
      <alignment horizontal="left"/>
      <protection locked="0"/>
    </xf>
    <xf numFmtId="9" fontId="7" fillId="0" borderId="0" xfId="1" applyNumberFormat="1" applyFont="1" applyBorder="1" applyAlignment="1" applyProtection="1">
      <alignment horizontal="right" vertical="center"/>
      <protection locked="0"/>
    </xf>
    <xf numFmtId="9" fontId="7" fillId="0" borderId="4" xfId="4" applyFont="1" applyBorder="1" applyAlignment="1" applyProtection="1">
      <alignment horizontal="right" vertical="center"/>
      <protection locked="0"/>
    </xf>
    <xf numFmtId="9" fontId="7" fillId="0" borderId="5" xfId="4" applyFont="1" applyBorder="1" applyAlignment="1" applyProtection="1">
      <alignment horizontal="right" vertical="center"/>
      <protection locked="0"/>
    </xf>
    <xf numFmtId="1" fontId="8" fillId="0" borderId="9" xfId="1" applyNumberFormat="1" applyFont="1" applyBorder="1" applyAlignment="1">
      <alignment horizontal="right" vertical="center"/>
    </xf>
    <xf numFmtId="9" fontId="7" fillId="0" borderId="9" xfId="4" applyFont="1" applyBorder="1" applyAlignment="1" applyProtection="1">
      <alignment horizontal="right" vertical="center"/>
      <protection locked="0"/>
    </xf>
    <xf numFmtId="1" fontId="8" fillId="0" borderId="3" xfId="1" applyNumberFormat="1" applyFont="1" applyBorder="1" applyAlignment="1">
      <alignment horizontal="right" vertical="center"/>
    </xf>
    <xf numFmtId="165" fontId="7" fillId="0" borderId="4" xfId="4" applyNumberFormat="1" applyFont="1" applyBorder="1" applyAlignment="1" applyProtection="1">
      <alignment horizontal="right" vertical="center"/>
      <protection locked="0"/>
    </xf>
    <xf numFmtId="9" fontId="8" fillId="0" borderId="5" xfId="4" applyFont="1" applyBorder="1" applyAlignment="1">
      <alignment horizontal="right" vertical="center"/>
    </xf>
    <xf numFmtId="165" fontId="7" fillId="0" borderId="5" xfId="4" applyNumberFormat="1" applyFont="1" applyBorder="1" applyAlignment="1" applyProtection="1">
      <alignment horizontal="right" vertical="center"/>
      <protection locked="0"/>
    </xf>
    <xf numFmtId="165" fontId="7" fillId="0" borderId="9" xfId="4" applyNumberFormat="1" applyFont="1" applyBorder="1" applyAlignment="1" applyProtection="1">
      <alignment horizontal="right" vertical="center"/>
      <protection locked="0"/>
    </xf>
    <xf numFmtId="49" fontId="8" fillId="0" borderId="0" xfId="0" applyNumberFormat="1" applyFont="1" applyAlignment="1" applyProtection="1">
      <alignment horizontal="left"/>
      <protection locked="0"/>
    </xf>
    <xf numFmtId="49" fontId="8" fillId="0" borderId="0" xfId="0" quotePrefix="1" applyNumberFormat="1" applyFont="1" applyAlignment="1" applyProtection="1">
      <alignment horizontal="left"/>
      <protection locked="0"/>
    </xf>
    <xf numFmtId="0" fontId="8" fillId="0" borderId="0" xfId="0" applyFont="1" applyAlignment="1" applyProtection="1">
      <alignment horizontal="left"/>
      <protection locked="0"/>
    </xf>
    <xf numFmtId="0" fontId="8" fillId="0" borderId="0" xfId="0" applyFont="1" applyAlignment="1">
      <alignment horizontal="center" vertical="center"/>
    </xf>
    <xf numFmtId="0" fontId="8" fillId="0" borderId="0" xfId="5" applyFont="1" applyAlignment="1">
      <alignment horizontal="left" vertical="center" wrapText="1"/>
    </xf>
    <xf numFmtId="9" fontId="7" fillId="0" borderId="3" xfId="4" applyFont="1" applyBorder="1" applyAlignment="1">
      <alignment horizontal="right" vertical="center"/>
    </xf>
    <xf numFmtId="165" fontId="7" fillId="0" borderId="3" xfId="4" applyNumberFormat="1" applyFont="1" applyBorder="1" applyAlignment="1">
      <alignment horizontal="right" vertical="center"/>
    </xf>
    <xf numFmtId="165" fontId="7" fillId="0" borderId="3" xfId="0" applyNumberFormat="1" applyFont="1" applyBorder="1" applyAlignment="1">
      <alignment horizontal="right" vertical="center"/>
    </xf>
    <xf numFmtId="9" fontId="8" fillId="0" borderId="0" xfId="5" applyNumberFormat="1" applyFont="1" applyAlignment="1">
      <alignment horizontal="right" vertical="center"/>
    </xf>
    <xf numFmtId="0" fontId="7" fillId="0" borderId="2" xfId="5" applyFont="1" applyBorder="1" applyAlignment="1">
      <alignment horizontal="left" vertical="center"/>
    </xf>
    <xf numFmtId="1" fontId="7" fillId="0" borderId="6" xfId="5" applyNumberFormat="1" applyFont="1" applyBorder="1" applyAlignment="1">
      <alignment horizontal="right" vertical="center" wrapText="1"/>
    </xf>
    <xf numFmtId="1" fontId="7" fillId="0" borderId="2" xfId="5" applyNumberFormat="1" applyFont="1" applyBorder="1" applyAlignment="1">
      <alignment horizontal="right" vertical="center" wrapText="1"/>
    </xf>
    <xf numFmtId="1" fontId="7" fillId="0" borderId="0" xfId="6" applyNumberFormat="1" applyFont="1" applyFill="1" applyBorder="1" applyAlignment="1">
      <alignment horizontal="left" vertical="top"/>
    </xf>
    <xf numFmtId="1" fontId="7" fillId="0" borderId="0" xfId="5" applyNumberFormat="1" applyFont="1" applyAlignment="1">
      <alignment horizontal="left" vertical="top"/>
    </xf>
    <xf numFmtId="3" fontId="7" fillId="0" borderId="0" xfId="2" applyNumberFormat="1" applyFont="1" applyFill="1" applyBorder="1" applyAlignment="1">
      <alignment horizontal="right" vertical="center"/>
    </xf>
    <xf numFmtId="3" fontId="8" fillId="0" borderId="0" xfId="2" applyNumberFormat="1" applyFont="1" applyFill="1" applyBorder="1" applyAlignment="1">
      <alignment horizontal="right" vertical="center"/>
    </xf>
    <xf numFmtId="3" fontId="8" fillId="0" borderId="0" xfId="8" applyNumberFormat="1" applyFont="1" applyFill="1" applyBorder="1" applyAlignment="1">
      <alignment horizontal="right" vertical="center"/>
    </xf>
    <xf numFmtId="1" fontId="8" fillId="0" borderId="2" xfId="5" applyNumberFormat="1" applyFont="1" applyBorder="1" applyAlignment="1">
      <alignment horizontal="right" vertical="center"/>
    </xf>
    <xf numFmtId="0" fontId="7" fillId="0" borderId="2" xfId="5" applyFont="1" applyBorder="1" applyAlignment="1">
      <alignment horizontal="left" vertical="center" wrapText="1"/>
    </xf>
    <xf numFmtId="0" fontId="4" fillId="0" borderId="0" xfId="0" applyFont="1" applyAlignment="1">
      <alignment horizontal="left" vertical="top"/>
    </xf>
    <xf numFmtId="0" fontId="3" fillId="0" borderId="0" xfId="0" applyFont="1" applyAlignment="1">
      <alignment horizontal="left" vertical="top"/>
    </xf>
    <xf numFmtId="0" fontId="4" fillId="0" borderId="0" xfId="0" applyFont="1"/>
    <xf numFmtId="1" fontId="0" fillId="0" borderId="0" xfId="0" applyNumberFormat="1"/>
    <xf numFmtId="9" fontId="0" fillId="0" borderId="0" xfId="4" applyFont="1"/>
    <xf numFmtId="167" fontId="0" fillId="0" borderId="0" xfId="0" applyNumberFormat="1"/>
    <xf numFmtId="164" fontId="8" fillId="0" borderId="0" xfId="1" applyNumberFormat="1" applyFont="1" applyAlignment="1">
      <alignment horizontal="right" vertical="center"/>
    </xf>
    <xf numFmtId="164" fontId="7" fillId="0" borderId="0" xfId="1" applyNumberFormat="1" applyFont="1" applyAlignment="1">
      <alignment horizontal="right" vertical="center"/>
    </xf>
    <xf numFmtId="1" fontId="7" fillId="0" borderId="2" xfId="2" applyNumberFormat="1" applyFont="1" applyBorder="1" applyAlignment="1">
      <alignment horizontal="right" vertical="center"/>
    </xf>
    <xf numFmtId="1" fontId="8" fillId="0" borderId="0" xfId="37" applyNumberFormat="1" applyFont="1" applyAlignment="1">
      <alignment horizontal="right" vertical="center"/>
    </xf>
    <xf numFmtId="1" fontId="7" fillId="0" borderId="0" xfId="0" applyNumberFormat="1" applyFont="1" applyAlignment="1">
      <alignment horizontal="right" vertical="center"/>
    </xf>
    <xf numFmtId="164" fontId="21" fillId="0" borderId="0" xfId="1" applyNumberFormat="1" applyFont="1" applyBorder="1" applyAlignment="1">
      <alignment horizontal="right" vertical="center"/>
    </xf>
    <xf numFmtId="9" fontId="20" fillId="0" borderId="0" xfId="4" applyFont="1" applyBorder="1" applyAlignment="1">
      <alignment horizontal="right" vertical="center"/>
    </xf>
    <xf numFmtId="9" fontId="20" fillId="0" borderId="2" xfId="4" applyFont="1" applyBorder="1" applyAlignment="1">
      <alignment horizontal="right" vertical="center"/>
    </xf>
    <xf numFmtId="169" fontId="20" fillId="0" borderId="3" xfId="4" applyNumberFormat="1" applyFont="1" applyBorder="1" applyAlignment="1">
      <alignment horizontal="right" vertical="center"/>
    </xf>
    <xf numFmtId="169" fontId="20" fillId="0" borderId="0" xfId="4" applyNumberFormat="1" applyFont="1" applyBorder="1" applyAlignment="1">
      <alignment horizontal="right" vertical="center"/>
    </xf>
    <xf numFmtId="0" fontId="20" fillId="0" borderId="2" xfId="0" applyFont="1" applyBorder="1" applyAlignment="1">
      <alignment horizontal="right" vertical="center" wrapText="1"/>
    </xf>
    <xf numFmtId="2" fontId="20" fillId="0" borderId="0" xfId="0" applyNumberFormat="1" applyFont="1" applyAlignment="1">
      <alignment horizontal="right" vertical="center"/>
    </xf>
    <xf numFmtId="3" fontId="21" fillId="0" borderId="0" xfId="37" applyNumberFormat="1" applyFont="1" applyAlignment="1">
      <alignment horizontal="right" vertical="center"/>
    </xf>
    <xf numFmtId="3" fontId="21" fillId="0" borderId="2" xfId="37" applyNumberFormat="1" applyFont="1" applyBorder="1" applyAlignment="1">
      <alignment horizontal="right" vertical="center"/>
    </xf>
    <xf numFmtId="3" fontId="21" fillId="0" borderId="3" xfId="37" applyNumberFormat="1" applyFont="1" applyBorder="1" applyAlignment="1">
      <alignment horizontal="right" vertical="center"/>
    </xf>
    <xf numFmtId="3" fontId="21" fillId="5" borderId="0" xfId="37" applyNumberFormat="1" applyFont="1" applyFill="1" applyAlignment="1">
      <alignment horizontal="right" vertical="center"/>
    </xf>
    <xf numFmtId="3" fontId="21" fillId="5" borderId="2" xfId="37" applyNumberFormat="1" applyFont="1" applyFill="1" applyBorder="1" applyAlignment="1">
      <alignment horizontal="right" vertical="center"/>
    </xf>
    <xf numFmtId="3" fontId="21" fillId="5" borderId="3" xfId="37" applyNumberFormat="1" applyFont="1" applyFill="1" applyBorder="1" applyAlignment="1">
      <alignment horizontal="right" vertical="center"/>
    </xf>
    <xf numFmtId="9" fontId="2" fillId="0" borderId="0" xfId="4" applyFont="1"/>
    <xf numFmtId="9" fontId="0" fillId="0" borderId="0" xfId="0" applyNumberFormat="1"/>
    <xf numFmtId="0" fontId="8" fillId="0" borderId="4" xfId="0" applyFont="1" applyBorder="1" applyAlignment="1">
      <alignment horizontal="left" vertical="center"/>
    </xf>
    <xf numFmtId="9" fontId="7" fillId="0" borderId="0" xfId="0" applyNumberFormat="1" applyFont="1" applyAlignment="1">
      <alignment horizontal="right" vertical="center"/>
    </xf>
    <xf numFmtId="0" fontId="4" fillId="0" borderId="0" xfId="9" applyAlignment="1">
      <alignment horizontal="left" vertical="center"/>
    </xf>
    <xf numFmtId="0" fontId="0" fillId="0" borderId="0" xfId="0" applyAlignment="1">
      <alignment vertical="center"/>
    </xf>
    <xf numFmtId="0" fontId="3" fillId="0" borderId="0" xfId="0" applyFont="1" applyAlignment="1">
      <alignment vertical="center"/>
    </xf>
    <xf numFmtId="0" fontId="8" fillId="0" borderId="5" xfId="0" applyFont="1" applyBorder="1" applyAlignment="1">
      <alignment horizontal="left" vertical="center"/>
    </xf>
    <xf numFmtId="0" fontId="8" fillId="0" borderId="9" xfId="0" applyFont="1" applyBorder="1" applyAlignment="1">
      <alignment horizontal="left" vertical="center"/>
    </xf>
    <xf numFmtId="1" fontId="8" fillId="0" borderId="0" xfId="0" applyNumberFormat="1" applyFont="1"/>
    <xf numFmtId="1" fontId="7" fillId="0" borderId="12" xfId="5" applyNumberFormat="1" applyFont="1" applyBorder="1" applyAlignment="1">
      <alignment horizontal="right" vertical="center" wrapText="1"/>
    </xf>
    <xf numFmtId="3" fontId="8" fillId="0" borderId="11" xfId="5" applyNumberFormat="1" applyFont="1" applyBorder="1" applyAlignment="1">
      <alignment horizontal="right" vertical="center"/>
    </xf>
    <xf numFmtId="3" fontId="7" fillId="0" borderId="11" xfId="5" applyNumberFormat="1" applyFont="1" applyBorder="1" applyAlignment="1">
      <alignment horizontal="right" vertical="center"/>
    </xf>
    <xf numFmtId="3" fontId="8" fillId="0" borderId="13" xfId="5" applyNumberFormat="1" applyFont="1" applyBorder="1" applyAlignment="1">
      <alignment horizontal="right" vertical="center"/>
    </xf>
    <xf numFmtId="3" fontId="7" fillId="0" borderId="14" xfId="5" applyNumberFormat="1" applyFont="1" applyBorder="1" applyAlignment="1">
      <alignment horizontal="right" vertical="center"/>
    </xf>
    <xf numFmtId="0" fontId="22" fillId="0" borderId="0" xfId="3" applyAlignment="1" applyProtection="1">
      <alignment vertical="center"/>
    </xf>
    <xf numFmtId="1" fontId="7" fillId="0" borderId="15" xfId="5" applyNumberFormat="1" applyFont="1" applyBorder="1" applyAlignment="1">
      <alignment horizontal="right" vertical="center" wrapText="1"/>
    </xf>
    <xf numFmtId="3" fontId="7" fillId="0" borderId="12" xfId="5" applyNumberFormat="1" applyFont="1" applyBorder="1" applyAlignment="1">
      <alignment horizontal="right" vertical="center"/>
    </xf>
    <xf numFmtId="3" fontId="8" fillId="0" borderId="16" xfId="5" applyNumberFormat="1" applyFont="1" applyBorder="1" applyAlignment="1">
      <alignment horizontal="right" vertical="center"/>
    </xf>
    <xf numFmtId="167" fontId="8" fillId="0" borderId="16" xfId="2" applyNumberFormat="1" applyFont="1" applyFill="1" applyBorder="1" applyAlignment="1">
      <alignment horizontal="right" vertical="center"/>
    </xf>
    <xf numFmtId="167" fontId="8" fillId="0" borderId="11" xfId="2" applyNumberFormat="1" applyFont="1" applyFill="1" applyBorder="1" applyAlignment="1">
      <alignment horizontal="right" vertical="center"/>
    </xf>
    <xf numFmtId="1" fontId="7" fillId="0" borderId="6" xfId="5" applyNumberFormat="1" applyFont="1" applyBorder="1" applyAlignment="1">
      <alignment horizontal="left" vertical="center" wrapText="1"/>
    </xf>
    <xf numFmtId="1" fontId="7" fillId="0" borderId="12" xfId="5" applyNumberFormat="1" applyFont="1" applyBorder="1" applyAlignment="1">
      <alignment horizontal="right" vertical="center"/>
    </xf>
    <xf numFmtId="1" fontId="7" fillId="0" borderId="0" xfId="5" applyNumberFormat="1" applyFont="1" applyAlignment="1">
      <alignment horizontal="left"/>
    </xf>
    <xf numFmtId="167" fontId="7" fillId="0" borderId="11" xfId="2" applyNumberFormat="1" applyFont="1" applyFill="1" applyBorder="1" applyAlignment="1">
      <alignment horizontal="right" vertical="center"/>
    </xf>
    <xf numFmtId="3" fontId="8" fillId="0" borderId="11" xfId="8" applyNumberFormat="1" applyFont="1" applyFill="1" applyBorder="1" applyAlignment="1">
      <alignment horizontal="right" vertical="center"/>
    </xf>
    <xf numFmtId="3" fontId="7" fillId="0" borderId="11" xfId="8" applyNumberFormat="1" applyFont="1" applyFill="1" applyBorder="1" applyAlignment="1">
      <alignment horizontal="right" vertical="center"/>
    </xf>
    <xf numFmtId="3" fontId="8" fillId="0" borderId="13" xfId="8" applyNumberFormat="1" applyFont="1" applyFill="1" applyBorder="1" applyAlignment="1">
      <alignment horizontal="right" vertical="center"/>
    </xf>
    <xf numFmtId="3" fontId="7" fillId="0" borderId="12" xfId="8" applyNumberFormat="1" applyFont="1" applyFill="1" applyBorder="1" applyAlignment="1">
      <alignment horizontal="right" vertical="center"/>
    </xf>
    <xf numFmtId="3" fontId="8" fillId="0" borderId="11" xfId="2" applyNumberFormat="1" applyFont="1" applyFill="1" applyBorder="1" applyAlignment="1">
      <alignment horizontal="right" vertical="center"/>
    </xf>
    <xf numFmtId="3" fontId="7" fillId="0" borderId="12" xfId="2" applyNumberFormat="1" applyFont="1" applyFill="1" applyBorder="1" applyAlignment="1">
      <alignment horizontal="right" vertical="center"/>
    </xf>
    <xf numFmtId="3" fontId="7" fillId="0" borderId="11" xfId="2" applyNumberFormat="1" applyFont="1" applyFill="1" applyBorder="1" applyAlignment="1">
      <alignment horizontal="right" vertical="center"/>
    </xf>
    <xf numFmtId="167" fontId="7" fillId="0" borderId="12" xfId="2" applyNumberFormat="1" applyFont="1" applyFill="1" applyBorder="1" applyAlignment="1">
      <alignment horizontal="right" vertical="center"/>
    </xf>
    <xf numFmtId="1" fontId="7" fillId="0" borderId="14" xfId="5" applyNumberFormat="1" applyFont="1" applyBorder="1" applyAlignment="1">
      <alignment horizontal="right" vertical="center" wrapText="1"/>
    </xf>
    <xf numFmtId="3" fontId="7" fillId="0" borderId="13" xfId="5" applyNumberFormat="1" applyFont="1" applyBorder="1" applyAlignment="1">
      <alignment horizontal="right" vertical="center"/>
    </xf>
    <xf numFmtId="167" fontId="7" fillId="0" borderId="14" xfId="2" applyNumberFormat="1" applyFont="1" applyFill="1" applyBorder="1" applyAlignment="1">
      <alignment horizontal="right" vertical="center"/>
    </xf>
    <xf numFmtId="0" fontId="6" fillId="0" borderId="0" xfId="0" applyFont="1" applyAlignment="1">
      <alignment horizontal="left" vertical="center"/>
    </xf>
    <xf numFmtId="1" fontId="6" fillId="0" borderId="0" xfId="0" applyNumberFormat="1" applyFont="1" applyAlignment="1">
      <alignment vertical="center"/>
    </xf>
    <xf numFmtId="3" fontId="20" fillId="0" borderId="0" xfId="1" applyNumberFormat="1" applyFont="1" applyBorder="1" applyAlignment="1">
      <alignment horizontal="right" vertical="center"/>
    </xf>
  </cellXfs>
  <cellStyles count="44">
    <cellStyle name="cf1" xfId="12" xr:uid="{12968078-07FA-4E59-A7DB-57B555E785A7}"/>
    <cellStyle name="cf2" xfId="13" xr:uid="{1BAC2458-88A5-428A-A001-B72D9B9075A5}"/>
    <cellStyle name="cf3" xfId="14" xr:uid="{2183EE0D-58B3-403E-BBE9-92A0D620B141}"/>
    <cellStyle name="Comma" xfId="1" builtinId="3"/>
    <cellStyle name="Comma 2" xfId="2" xr:uid="{00000000-0005-0000-0000-000001000000}"/>
    <cellStyle name="Comma 2 2" xfId="8" xr:uid="{1BEB4412-9121-4EF7-A242-9B9F29E93AFF}"/>
    <cellStyle name="Comma 2 2 2" xfId="17" xr:uid="{77991F74-2FBA-4892-BEB3-8174375584CD}"/>
    <cellStyle name="Comma 2 2 3" xfId="16" xr:uid="{6FA58309-D177-4484-BD36-259BF4DFE8E2}"/>
    <cellStyle name="Comma 2 2 4" xfId="41" xr:uid="{677954CA-4E70-4384-B55D-D0145F8ECEA3}"/>
    <cellStyle name="Comma 2 3" xfId="18" xr:uid="{54FA0EA3-CA55-4555-ADC2-53CBAE9BA337}"/>
    <cellStyle name="Comma 2 4" xfId="19" xr:uid="{95C91671-EC8F-42DF-8B82-4C06566D2780}"/>
    <cellStyle name="Comma 2 5" xfId="15" xr:uid="{89FBD2D0-7E33-4827-8805-FADDA608693F}"/>
    <cellStyle name="Comma 2 6" xfId="39" xr:uid="{FBA1EC3C-6225-41C6-B704-409D69B3D40D}"/>
    <cellStyle name="Comma 3" xfId="7" xr:uid="{405C0581-EBCC-4907-AF0F-A1059251BF5C}"/>
    <cellStyle name="Comma 3 2" xfId="21" xr:uid="{31C4DBFE-B980-472F-9C9C-C73F79C71085}"/>
    <cellStyle name="Comma 3 3" xfId="20" xr:uid="{16EC8B89-6321-46DB-B50E-D760E503C70E}"/>
    <cellStyle name="Comma 3 4" xfId="40" xr:uid="{611BA9ED-1AB3-4216-B7C6-7D7019128530}"/>
    <cellStyle name="Comma 4" xfId="22" xr:uid="{D5F90539-B89F-4749-B7E6-CF58A2BC9F6C}"/>
    <cellStyle name="Comma 5" xfId="23" xr:uid="{36822231-FBEB-4BA9-94AD-3C318FB443FF}"/>
    <cellStyle name="Comma 6" xfId="24" xr:uid="{1DC71E8A-B9DF-4744-9BB9-A13290BDB0AE}"/>
    <cellStyle name="Comma 7" xfId="25" xr:uid="{C1DB21DC-F8AF-4543-A3E1-350E5D9F2917}"/>
    <cellStyle name="Comma 8" xfId="38" xr:uid="{EE701EC5-44F0-40C6-AFC4-B94675171FA8}"/>
    <cellStyle name="Followed Hyperlink" xfId="43" builtinId="9" customBuiltin="1"/>
    <cellStyle name="Hyperlink" xfId="3" builtinId="8" customBuiltin="1"/>
    <cellStyle name="Hyperlink 2" xfId="26" xr:uid="{9F6E295B-FEAE-4042-98CB-92EF7AAF38ED}"/>
    <cellStyle name="Normal" xfId="0" builtinId="0"/>
    <cellStyle name="Normal 2" xfId="27" xr:uid="{14ACA4DB-08A8-44F0-820C-68DC52506EEF}"/>
    <cellStyle name="Normal 2 2" xfId="28" xr:uid="{C14E142B-7639-4B13-9658-E7298535CF18}"/>
    <cellStyle name="Normal 3" xfId="5" xr:uid="{A562836B-D67B-4359-83FC-C02F916C59E4}"/>
    <cellStyle name="Normal 3 2" xfId="30" xr:uid="{95D69911-1904-4AD9-B5B0-128FE59BB257}"/>
    <cellStyle name="Normal 3 3" xfId="29" xr:uid="{7CAADE83-5D5E-4A8B-86BD-D61D9782A5E8}"/>
    <cellStyle name="Normal 4" xfId="31" xr:uid="{B71BE36E-D9EB-43B3-A205-62F7054D2FAD}"/>
    <cellStyle name="Normal 5" xfId="10" xr:uid="{CADAFCA3-518A-4292-B83E-871781CFF902}"/>
    <cellStyle name="Normal 6" xfId="37" xr:uid="{7828F879-36ED-4DB4-898D-A40C71F2F03C}"/>
    <cellStyle name="Normal 6 2" xfId="42" xr:uid="{8E764CFA-16AA-4B6D-A427-3635615AA039}"/>
    <cellStyle name="Per cent" xfId="4" builtinId="5"/>
    <cellStyle name="Percent 2" xfId="6" xr:uid="{A2801BD7-DF21-4DED-9C3C-34E9A98DCF17}"/>
    <cellStyle name="Percent 2 2" xfId="33" xr:uid="{B311CE04-13AB-47FC-A546-FDBB3A4274F6}"/>
    <cellStyle name="Percent 2 3" xfId="32" xr:uid="{51034D66-42D1-417E-994E-4719DA7FFC03}"/>
    <cellStyle name="Percent 3" xfId="34" xr:uid="{EA5BD95D-4BE8-4B73-8384-19316E2FA8F4}"/>
    <cellStyle name="Percent 4" xfId="35" xr:uid="{9B4464C5-AC1C-4AC6-BEE6-AF554F0408DD}"/>
    <cellStyle name="Percent 5" xfId="11" xr:uid="{99CB4AEA-0C5A-49E1-9FB5-4E9E1C2B423C}"/>
    <cellStyle name="Style 1" xfId="9" xr:uid="{54542A7D-89BE-4C89-8B6D-CDC073BFCABB}"/>
    <cellStyle name="Style 1 2" xfId="36" xr:uid="{626D18F2-3B57-46A4-937D-3E28CEDB93D8}"/>
  </cellStyles>
  <dxfs count="408">
    <dxf>
      <font>
        <b val="0"/>
        <i val="0"/>
        <strike val="0"/>
        <outline val="0"/>
        <shadow val="0"/>
        <u val="none"/>
        <vertAlign val="baseline"/>
        <sz val="10"/>
        <color auto="1"/>
        <name val="Arial"/>
        <family val="2"/>
        <scheme val="none"/>
      </font>
      <numFmt numFmtId="165" formatCode="0.0"/>
      <fill>
        <patternFill patternType="none">
          <fgColor indexed="64"/>
          <bgColor auto="1"/>
        </patternFill>
      </fill>
      <alignment horizontal="right" vertical="center" textRotation="0" indent="0" justifyLastLine="0" shrinkToFit="0" readingOrder="0"/>
    </dxf>
    <dxf>
      <font>
        <b val="0"/>
        <i val="0"/>
        <strike val="0"/>
        <outline val="0"/>
        <shadow val="0"/>
        <u val="none"/>
        <vertAlign val="baseline"/>
        <sz val="10"/>
        <color auto="1"/>
        <name val="Arial"/>
        <family val="2"/>
        <scheme val="none"/>
      </font>
      <fill>
        <patternFill patternType="none">
          <fgColor indexed="64"/>
          <bgColor auto="1"/>
        </patternFill>
      </fill>
      <alignment horizontal="right" vertical="center" textRotation="0" indent="0" justifyLastLine="0" shrinkToFit="0" readingOrder="0"/>
    </dxf>
    <dxf>
      <font>
        <b val="0"/>
        <i val="0"/>
        <strike val="0"/>
        <outline val="0"/>
        <shadow val="0"/>
        <u val="none"/>
        <vertAlign val="baseline"/>
        <sz val="10"/>
        <color auto="1"/>
        <name val="Arial"/>
        <family val="2"/>
        <scheme val="none"/>
      </font>
      <numFmt numFmtId="165" formatCode="0.0"/>
      <fill>
        <patternFill patternType="none">
          <fgColor indexed="64"/>
          <bgColor auto="1"/>
        </patternFill>
      </fill>
      <alignment horizontal="right" vertical="center" textRotation="0"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right" vertical="center" textRotation="0"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right" vertical="center" textRotation="0" indent="0" justifyLastLine="0" shrinkToFit="0" readingOrder="0"/>
    </dxf>
    <dxf>
      <font>
        <b val="0"/>
        <i val="0"/>
        <strike val="0"/>
        <outline val="0"/>
        <shadow val="0"/>
        <u val="none"/>
        <vertAlign val="baseline"/>
        <sz val="10"/>
        <color theme="1"/>
        <name val="Arial"/>
        <family val="2"/>
        <scheme val="none"/>
      </font>
      <numFmt numFmtId="3" formatCode="#,##0"/>
      <fill>
        <patternFill patternType="none">
          <fgColor indexed="64"/>
          <bgColor auto="1"/>
        </patternFill>
      </fill>
    </dxf>
    <dxf>
      <font>
        <b val="0"/>
        <i val="0"/>
        <strike val="0"/>
        <outline val="0"/>
        <shadow val="0"/>
        <u val="none"/>
        <vertAlign val="baseline"/>
        <sz val="10"/>
        <color theme="1"/>
        <name val="Arial"/>
        <family val="2"/>
        <scheme val="none"/>
      </font>
      <fill>
        <patternFill patternType="none">
          <fgColor indexed="64"/>
          <bgColor auto="1"/>
        </patternFill>
      </fill>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lef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left" vertical="center" textRotation="0" indent="0" justifyLastLine="0" shrinkToFit="0" readingOrder="0"/>
    </dxf>
    <dxf>
      <border diagonalUp="0" diagonalDown="0">
        <left/>
        <right/>
        <top style="thin">
          <color indexed="64"/>
        </top>
        <bottom style="thin">
          <color indexed="64"/>
        </bottom>
      </border>
    </dxf>
    <dxf>
      <font>
        <b val="0"/>
        <i val="0"/>
        <strike val="0"/>
        <outline val="0"/>
        <shadow val="0"/>
        <u val="none"/>
        <vertAlign val="baseline"/>
        <sz val="10"/>
        <color auto="1"/>
        <name val="Arial"/>
        <family val="2"/>
        <scheme val="none"/>
      </font>
      <fill>
        <patternFill patternType="none">
          <fgColor indexed="64"/>
          <bgColor auto="1"/>
        </patternFill>
      </fill>
    </dxf>
    <dxf>
      <border outline="0">
        <bottom style="thin">
          <color indexed="64"/>
        </bottom>
      </border>
    </dxf>
    <dxf>
      <font>
        <b/>
        <i val="0"/>
        <strike val="0"/>
        <condense val="0"/>
        <extend val="0"/>
        <outline val="0"/>
        <shadow val="0"/>
        <u val="none"/>
        <vertAlign val="baseline"/>
        <sz val="10"/>
        <color auto="1"/>
        <name val="Arial"/>
        <family val="2"/>
        <scheme val="none"/>
      </font>
      <fill>
        <patternFill patternType="none">
          <fgColor indexed="64"/>
          <bgColor auto="1"/>
        </patternFill>
      </fill>
      <alignment horizontal="right" vertical="center" textRotation="0" wrapText="1"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7" formatCode="&quot; &quot;#,##0&quot; &quot;;&quot;-&quot;#,##0&quot; &quot;;&quot; -&quot;00&quot; &quot;;&quot; &quot;@&quot; &quot;"/>
      <fill>
        <patternFill patternType="none">
          <fgColor indexed="64"/>
          <bgColor indexed="65"/>
        </patternFill>
      </fill>
      <alignment horizontal="right" vertical="center" textRotation="0" wrapText="0" indent="0" justifyLastLine="0" shrinkToFit="0" readingOrder="0"/>
      <border diagonalUp="0" diagonalDown="0">
        <left/>
        <right style="dashed">
          <color indexed="64"/>
        </right>
        <vertical/>
      </border>
    </dxf>
    <dxf>
      <font>
        <b val="0"/>
        <i val="0"/>
        <strike val="0"/>
        <condense val="0"/>
        <extend val="0"/>
        <outline val="0"/>
        <shadow val="0"/>
        <u val="none"/>
        <vertAlign val="baseline"/>
        <sz val="10"/>
        <color auto="1"/>
        <name val="Arial"/>
        <family val="2"/>
        <scheme val="none"/>
      </font>
      <numFmt numFmtId="167" formatCode="&quot; &quot;#,##0&quot; &quot;;&quot;-&quot;#,##0&quot; &quot;;&quot; -&quot;00&quot; &quot;;&quot; &quot;@&quot; &quo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7" formatCode="&quot; &quot;#,##0&quot; &quot;;&quot;-&quot;#,##0&quot; &quot;;&quot; -&quot;00&quot; &quot;;&quot; &quot;@&quot; &quo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7" formatCode="&quot; &quot;#,##0&quot; &quot;;&quot;-&quot;#,##0&quot; &quot;;&quot; -&quot;00&quot; &quot;;&quot; &quot;@&quot; &quo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7" formatCode="&quot; &quot;#,##0&quot; &quot;;&quot;-&quot;#,##0&quot; &quot;;&quot; -&quot;00&quot; &quot;;&quot; &quot;@&quot; &quo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7" formatCode="&quot; &quot;#,##0&quot; &quot;;&quot;-&quot;#,##0&quot; &quot;;&quot; -&quot;00&quot; &quot;;&quot; &quot;@&quot; &quo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7" formatCode="&quot; &quot;#,##0&quot; &quot;;&quot;-&quot;#,##0&quot; &quot;;&quot; -&quot;00&quot; &quot;;&quot; &quot;@&quot; &quo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 formatCode="0"/>
      <alignment horizontal="lef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 formatCode="0"/>
      <alignment horizontal="left" vertical="center" textRotation="0" wrapText="0" indent="0" justifyLastLine="0" shrinkToFit="0" readingOrder="0"/>
    </dxf>
    <dxf>
      <border outline="0">
        <top style="thin">
          <color indexed="64"/>
        </top>
      </border>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family val="2"/>
        <scheme val="none"/>
      </font>
      <numFmt numFmtId="1" formatCode="0"/>
      <alignment horizontal="right" vertical="center" textRotation="0" wrapText="1" indent="0" justifyLastLine="0" shrinkToFit="0" readingOrder="0"/>
    </dxf>
    <dxf>
      <font>
        <b/>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i val="0"/>
        <strike val="0"/>
        <condense val="0"/>
        <extend val="0"/>
        <outline val="0"/>
        <shadow val="0"/>
        <u val="none"/>
        <vertAlign val="baseline"/>
        <sz val="10"/>
        <color auto="1"/>
        <name val="Arial"/>
        <family val="2"/>
        <scheme val="none"/>
      </font>
      <numFmt numFmtId="3" formatCode="#,##0"/>
      <alignment horizontal="right" vertical="center" textRotation="0" wrapText="0" indent="0" justifyLastLine="0" shrinkToFit="0" readingOrder="0"/>
      <border diagonalUp="0" diagonalDown="0">
        <left/>
        <right style="dashed">
          <color indexed="64"/>
        </right>
        <vertical/>
      </border>
    </dxf>
    <dxf>
      <font>
        <b/>
        <i val="0"/>
        <strike val="0"/>
        <condense val="0"/>
        <extend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font>
        <b/>
        <i val="0"/>
        <strike val="0"/>
        <condense val="0"/>
        <extend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font>
        <b/>
        <i val="0"/>
        <strike val="0"/>
        <condense val="0"/>
        <extend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font>
        <b/>
        <i val="0"/>
        <strike val="0"/>
        <condense val="0"/>
        <extend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font>
        <b/>
        <i val="0"/>
        <strike val="0"/>
        <condense val="0"/>
        <extend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font>
        <b/>
        <i val="0"/>
        <strike val="0"/>
        <condense val="0"/>
        <extend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font>
        <b/>
        <i val="0"/>
        <strike val="0"/>
        <condense val="0"/>
        <extend val="0"/>
        <outline val="0"/>
        <shadow val="0"/>
        <u val="none"/>
        <vertAlign val="baseline"/>
        <sz val="10"/>
        <color auto="1"/>
        <name val="Arial"/>
        <family val="2"/>
        <scheme val="none"/>
      </font>
      <alignment horizontal="left" vertical="center" textRotation="0" wrapText="0" indent="0" justifyLastLine="0" shrinkToFit="0" readingOrder="0"/>
    </dxf>
    <dxf>
      <border outline="0">
        <top style="thin">
          <color indexed="64"/>
        </top>
      </border>
    </dxf>
    <dxf>
      <font>
        <b/>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family val="2"/>
        <scheme val="none"/>
      </font>
      <numFmt numFmtId="1" formatCode="0"/>
      <alignment horizontal="right" vertical="center" textRotation="0" wrapText="1"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7" formatCode="&quot; &quot;#,##0&quot; &quot;;&quot;-&quot;#,##0&quot; &quot;;&quot; -&quot;00&quot; &quot;;&quot; &quot;@&quot; &quot;"/>
      <fill>
        <patternFill patternType="none">
          <fgColor indexed="64"/>
          <bgColor indexed="65"/>
        </patternFill>
      </fill>
      <alignment horizontal="right" vertical="center" textRotation="0" wrapText="0" indent="0" justifyLastLine="0" shrinkToFit="0" readingOrder="0"/>
      <border diagonalUp="0" diagonalDown="0">
        <left/>
        <right style="dashed">
          <color indexed="64"/>
        </right>
        <vertical/>
      </border>
    </dxf>
    <dxf>
      <font>
        <b val="0"/>
        <i val="0"/>
        <strike val="0"/>
        <condense val="0"/>
        <extend val="0"/>
        <outline val="0"/>
        <shadow val="0"/>
        <u val="none"/>
        <vertAlign val="baseline"/>
        <sz val="10"/>
        <color auto="1"/>
        <name val="Arial"/>
        <family val="2"/>
        <scheme val="none"/>
      </font>
      <numFmt numFmtId="167" formatCode="&quot; &quot;#,##0&quot; &quot;;&quot;-&quot;#,##0&quot; &quot;;&quot; -&quot;00&quot; &quot;;&quot; &quot;@&quot; &quo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7" formatCode="&quot; &quot;#,##0&quot; &quot;;&quot;-&quot;#,##0&quot; &quot;;&quot; -&quot;00&quot; &quot;;&quot; &quot;@&quot; &quo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7" formatCode="&quot; &quot;#,##0&quot; &quot;;&quot;-&quot;#,##0&quot; &quot;;&quot; -&quot;00&quot; &quot;;&quot; &quot;@&quot; &quo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7" formatCode="&quot; &quot;#,##0&quot; &quot;;&quot;-&quot;#,##0&quot; &quot;;&quot; -&quot;00&quot; &quot;;&quot; &quot;@&quot; &quo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7" formatCode="&quot; &quot;#,##0&quot; &quot;;&quot;-&quot;#,##0&quot; &quot;;&quot; -&quot;00&quot; &quot;;&quot; &quot;@&quot; &quo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7" formatCode="&quot; &quot;#,##0&quot; &quot;;&quot;-&quot;#,##0&quot; &quot;;&quot; -&quot;00&quot; &quot;;&quot; &quot;@&quot; &quo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 formatCode="0"/>
      <alignment horizontal="lef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 formatCode="0"/>
      <alignment horizontal="lef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border outline="0">
        <bottom style="thin">
          <color rgb="FF000000"/>
        </bottom>
      </border>
    </dxf>
    <dxf>
      <font>
        <b/>
        <i val="0"/>
        <strike val="0"/>
        <condense val="0"/>
        <extend val="0"/>
        <outline val="0"/>
        <shadow val="0"/>
        <u val="none"/>
        <vertAlign val="baseline"/>
        <sz val="10"/>
        <color auto="1"/>
        <name val="Arial"/>
        <family val="2"/>
        <scheme val="none"/>
      </font>
      <numFmt numFmtId="1" formatCode="0"/>
      <alignment horizontal="right" vertical="center" textRotation="0" wrapText="1"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center" textRotation="0" wrapText="0" indent="0" justifyLastLine="0" shrinkToFit="0" readingOrder="0"/>
      <border diagonalUp="0" diagonalDown="0">
        <left/>
        <right style="dashed">
          <color indexed="64"/>
        </right>
        <vertical/>
      </border>
    </dxf>
    <dxf>
      <font>
        <b val="0"/>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 formatCode="0"/>
      <alignment horizontal="left" vertical="top"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 formatCode="0"/>
      <fill>
        <patternFill patternType="none">
          <fgColor indexed="64"/>
          <bgColor indexed="65"/>
        </patternFill>
      </fill>
      <alignment horizontal="left" vertical="top" textRotation="0" wrapText="0" indent="0" justifyLastLine="0" shrinkToFit="0" readingOrder="0"/>
    </dxf>
    <dxf>
      <border outline="0">
        <bottom style="thin">
          <color rgb="FF000000"/>
        </bottom>
      </border>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border outline="0">
        <bottom style="thin">
          <color rgb="FF000000"/>
        </bottom>
      </border>
    </dxf>
    <dxf>
      <font>
        <b/>
        <i val="0"/>
        <strike val="0"/>
        <condense val="0"/>
        <extend val="0"/>
        <outline val="0"/>
        <shadow val="0"/>
        <u val="none"/>
        <vertAlign val="baseline"/>
        <sz val="10"/>
        <color auto="1"/>
        <name val="Arial"/>
        <family val="2"/>
        <scheme val="none"/>
      </font>
      <numFmt numFmtId="1" formatCode="0"/>
      <alignment horizontal="right" vertical="center" textRotation="0" wrapText="1"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center" textRotation="0" wrapText="0" indent="0" justifyLastLine="0" shrinkToFit="0" readingOrder="0"/>
      <border diagonalUp="0" diagonalDown="0">
        <left/>
        <right style="dashed">
          <color indexed="64"/>
        </right>
        <vertical/>
      </border>
    </dxf>
    <dxf>
      <font>
        <b val="0"/>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 formatCode="0"/>
    </dxf>
    <dxf>
      <font>
        <b val="0"/>
        <i val="0"/>
        <strike val="0"/>
        <condense val="0"/>
        <extend val="0"/>
        <outline val="0"/>
        <shadow val="0"/>
        <u val="none"/>
        <vertAlign val="baseline"/>
        <sz val="10"/>
        <color auto="1"/>
        <name val="Arial"/>
        <family val="2"/>
        <scheme val="none"/>
      </font>
      <numFmt numFmtId="1" formatCode="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border outline="0">
        <bottom style="thin">
          <color rgb="FF000000"/>
        </bottom>
      </border>
    </dxf>
    <dxf>
      <font>
        <b/>
        <i val="0"/>
        <strike val="0"/>
        <condense val="0"/>
        <extend val="0"/>
        <outline val="0"/>
        <shadow val="0"/>
        <u val="none"/>
        <vertAlign val="baseline"/>
        <sz val="10"/>
        <color auto="1"/>
        <name val="Arial"/>
        <family val="2"/>
        <scheme val="none"/>
      </font>
      <numFmt numFmtId="1" formatCode="0"/>
      <alignment horizontal="right" vertical="center" textRotation="0" wrapText="1"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7" formatCode="&quot; &quot;#,##0&quot; &quot;;&quot;-&quot;#,##0&quot; &quot;;&quot; -&quot;00&quot; &quot;;&quot; &quot;@&quot; &quot;"/>
      <fill>
        <patternFill patternType="none">
          <fgColor indexed="64"/>
          <bgColor indexed="65"/>
        </patternFill>
      </fill>
      <alignment horizontal="right" vertical="center" textRotation="0" wrapText="0" indent="0" justifyLastLine="0" shrinkToFit="0" readingOrder="0"/>
      <border diagonalUp="0" diagonalDown="0">
        <left/>
        <right style="dashed">
          <color indexed="64"/>
        </right>
        <vertical/>
      </border>
    </dxf>
    <dxf>
      <font>
        <b val="0"/>
        <i val="0"/>
        <strike val="0"/>
        <condense val="0"/>
        <extend val="0"/>
        <outline val="0"/>
        <shadow val="0"/>
        <u val="none"/>
        <vertAlign val="baseline"/>
        <sz val="10"/>
        <color auto="1"/>
        <name val="Arial"/>
        <family val="2"/>
        <scheme val="none"/>
      </font>
      <numFmt numFmtId="167" formatCode="&quot; &quot;#,##0&quot; &quot;;&quot;-&quot;#,##0&quot; &quot;;&quot; -&quot;00&quot; &quot;;&quot; &quot;@&quot; &quo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7" formatCode="&quot; &quot;#,##0&quot; &quot;;&quot;-&quot;#,##0&quot; &quot;;&quot; -&quot;00&quot; &quot;;&quot; &quot;@&quot; &quo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7" formatCode="&quot; &quot;#,##0&quot; &quot;;&quot;-&quot;#,##0&quot; &quot;;&quot; -&quot;00&quot; &quot;;&quot; &quot;@&quot; &quo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7" formatCode="&quot; &quot;#,##0&quot; &quot;;&quot;-&quot;#,##0&quot; &quot;;&quot; -&quot;00&quot; &quot;;&quot; &quot;@&quot; &quo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7" formatCode="&quot; &quot;#,##0&quot; &quot;;&quot;-&quot;#,##0&quot; &quot;;&quot; -&quot;00&quot; &quot;;&quot; &quot;@&quot; &quo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7" formatCode="&quot; &quot;#,##0&quot; &quot;;&quot;-&quot;#,##0&quot; &quot;;&quot; -&quot;00&quot; &quot;;&quot; &quot;@&quot; &quo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 formatCode="0"/>
      <alignment horizontal="left" vertical="bottom" textRotation="0" wrapText="0" indent="0" justifyLastLine="0" shrinkToFit="0" readingOrder="0"/>
    </dxf>
    <dxf>
      <border outline="0">
        <bottom style="thin">
          <color rgb="FF000000"/>
        </bottom>
      </border>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border outline="0">
        <bottom style="thin">
          <color rgb="FF000000"/>
        </bottom>
      </border>
    </dxf>
    <dxf>
      <font>
        <b/>
        <i val="0"/>
        <strike val="0"/>
        <condense val="0"/>
        <extend val="0"/>
        <outline val="0"/>
        <shadow val="0"/>
        <u val="none"/>
        <vertAlign val="baseline"/>
        <sz val="10"/>
        <color auto="1"/>
        <name val="Arial"/>
        <family val="2"/>
        <scheme val="none"/>
      </font>
      <numFmt numFmtId="1" formatCode="0"/>
      <alignment horizontal="right" vertical="center" textRotation="0" wrapText="1"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7" formatCode="&quot; &quot;#,##0&quot; &quot;;&quot;-&quot;#,##0&quot; &quot;;&quot; -&quot;00&quot; &quot;;&quot; &quot;@&quot; &quot;"/>
      <fill>
        <patternFill patternType="none">
          <fgColor indexed="64"/>
          <bgColor indexed="65"/>
        </patternFill>
      </fill>
      <alignment horizontal="right" vertical="center" textRotation="0" wrapText="0" indent="0" justifyLastLine="0" shrinkToFit="0" readingOrder="0"/>
      <border diagonalUp="0" diagonalDown="0">
        <left/>
        <right style="dashed">
          <color indexed="64"/>
        </right>
        <vertical/>
      </border>
    </dxf>
    <dxf>
      <font>
        <b val="0"/>
        <i val="0"/>
        <strike val="0"/>
        <condense val="0"/>
        <extend val="0"/>
        <outline val="0"/>
        <shadow val="0"/>
        <u val="none"/>
        <vertAlign val="baseline"/>
        <sz val="10"/>
        <color auto="1"/>
        <name val="Arial"/>
        <family val="2"/>
        <scheme val="none"/>
      </font>
      <numFmt numFmtId="167" formatCode="&quot; &quot;#,##0&quot; &quot;;&quot;-&quot;#,##0&quot; &quot;;&quot; -&quot;00&quot; &quot;;&quot; &quot;@&quot; &quo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7" formatCode="&quot; &quot;#,##0&quot; &quot;;&quot;-&quot;#,##0&quot; &quot;;&quot; -&quot;00&quot; &quot;;&quot; &quot;@&quot; &quo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7" formatCode="&quot; &quot;#,##0&quot; &quot;;&quot;-&quot;#,##0&quot; &quot;;&quot; -&quot;00&quot; &quot;;&quot; &quot;@&quot; &quo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7" formatCode="&quot; &quot;#,##0&quot; &quot;;&quot;-&quot;#,##0&quot; &quot;;&quot; -&quot;00&quot; &quot;;&quot; &quot;@&quot; &quo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7" formatCode="&quot; &quot;#,##0&quot; &quot;;&quot;-&quot;#,##0&quot; &quot;;&quot; -&quot;00&quot; &quot;;&quot; &quot;@&quot; &quo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7" formatCode="&quot; &quot;#,##0&quot; &quot;;&quot;-&quot;#,##0&quot; &quot;;&quot; -&quot;00&quot; &quot;;&quot; &quot;@&quot; &quo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 formatCode="0"/>
      <alignment horizontal="lef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border outline="0">
        <bottom style="thin">
          <color rgb="FF000000"/>
        </bottom>
      </border>
    </dxf>
    <dxf>
      <font>
        <b/>
        <i val="0"/>
        <strike val="0"/>
        <condense val="0"/>
        <extend val="0"/>
        <outline val="0"/>
        <shadow val="0"/>
        <u val="none"/>
        <vertAlign val="baseline"/>
        <sz val="10"/>
        <color auto="1"/>
        <name val="Arial"/>
        <family val="2"/>
        <scheme val="none"/>
      </font>
      <numFmt numFmtId="1" formatCode="0"/>
      <alignment horizontal="right" vertical="center" textRotation="0" wrapText="1" indent="0" justifyLastLine="0" shrinkToFit="0" readingOrder="0"/>
    </dxf>
    <dxf>
      <border diagonalUp="0" diagonalDown="0">
        <left/>
        <right style="dashed">
          <color indexed="64"/>
        </right>
        <vertical/>
      </border>
    </dxf>
    <dxf>
      <font>
        <b val="0"/>
        <i val="0"/>
        <strike val="0"/>
        <condense val="0"/>
        <extend val="0"/>
        <outline val="0"/>
        <shadow val="0"/>
        <u val="none"/>
        <vertAlign val="baseline"/>
        <sz val="10"/>
        <color auto="1"/>
        <name val="Arial"/>
        <family val="2"/>
        <scheme val="none"/>
      </font>
      <alignment horizontal="lef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left" vertical="center" textRotation="0" wrapText="0" indent="0" justifyLastLine="0" shrinkToFit="0" readingOrder="0"/>
    </dxf>
    <dxf>
      <border outline="0">
        <bottom style="thin">
          <color rgb="FF000000"/>
        </bottom>
      </border>
    </dxf>
    <dxf>
      <font>
        <b/>
        <i val="0"/>
        <strike val="0"/>
        <condense val="0"/>
        <extend val="0"/>
        <outline val="0"/>
        <shadow val="0"/>
        <u val="none"/>
        <vertAlign val="baseline"/>
        <sz val="10"/>
        <color auto="1"/>
        <name val="Arial"/>
        <family val="2"/>
        <scheme val="none"/>
      </font>
      <numFmt numFmtId="1" formatCode="0"/>
      <alignment horizontal="right" vertical="center" textRotation="0" wrapText="1" indent="0" justifyLastLine="0" shrinkToFit="0" readingOrder="0"/>
    </dxf>
    <dxf>
      <font>
        <b/>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i val="0"/>
        <strike val="0"/>
        <condense val="0"/>
        <extend val="0"/>
        <outline val="0"/>
        <shadow val="0"/>
        <u val="none"/>
        <vertAlign val="baseline"/>
        <sz val="10"/>
        <color rgb="FF000000"/>
        <name val="Arial"/>
        <family val="2"/>
        <scheme val="none"/>
      </font>
      <numFmt numFmtId="3" formatCode="#,##0"/>
      <fill>
        <patternFill patternType="solid">
          <fgColor rgb="FFFFFFFF"/>
          <bgColor rgb="FFFFFFFF"/>
        </patternFill>
      </fill>
      <alignment horizontal="right" vertical="center" textRotation="0" wrapText="0" indent="0" justifyLastLine="0" shrinkToFit="0" readingOrder="0"/>
      <border diagonalUp="0" diagonalDown="0">
        <left/>
        <right style="dashed">
          <color indexed="64"/>
        </right>
        <vertical/>
      </border>
    </dxf>
    <dxf>
      <font>
        <b val="0"/>
        <i val="0"/>
        <strike val="0"/>
        <condense val="0"/>
        <extend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border outline="0">
        <top style="thin">
          <color rgb="FF000000"/>
        </top>
        <bottom style="thin">
          <color indexed="64"/>
        </bottom>
      </border>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i val="0"/>
        <strike val="0"/>
        <condense val="0"/>
        <extend val="0"/>
        <outline val="0"/>
        <shadow val="0"/>
        <u val="none"/>
        <vertAlign val="baseline"/>
        <sz val="10"/>
        <color auto="1"/>
        <name val="Arial"/>
        <family val="2"/>
        <scheme val="none"/>
      </font>
      <numFmt numFmtId="1" formatCode="0"/>
      <alignment horizontal="right" vertical="center"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4" formatCode="_-* #,##0_-;\-* #,##0_-;_-* &quot;-&quot;??_-;_-@_-"/>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4" formatCode="_-* #,##0_-;\-* #,##0_-;_-* &quot;-&quot;??_-;_-@_-"/>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4" formatCode="_-* #,##0_-;\-* #,##0_-;_-* &quot;-&quot;??_-;_-@_-"/>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4" formatCode="_-* #,##0_-;\-* #,##0_-;_-* &quot;-&quot;??_-;_-@_-"/>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4" formatCode="_-* #,##0_-;\-* #,##0_-;_-* &quot;-&quot;??_-;_-@_-"/>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4" formatCode="_-* #,##0_-;\-* #,##0_-;_-* &quot;-&quot;??_-;_-@_-"/>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4" formatCode="_-* #,##0_-;\-* #,##0_-;_-* &quot;-&quot;??_-;_-@_-"/>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4" formatCode="_-* #,##0_-;\-* #,##0_-;_-* &quot;-&quot;??_-;_-@_-"/>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4" formatCode="_-* #,##0_-;\-* #,##0_-;_-* &quot;-&quot;??_-;_-@_-"/>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4" formatCode="_-* #,##0_-;\-* #,##0_-;_-* &quot;-&quot;??_-;_-@_-"/>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4" formatCode="_-* #,##0_-;\-* #,##0_-;_-* &quot;-&quot;??_-;_-@_-"/>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0" formatCode="@"/>
      <alignment horizontal="lef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0" formatCode="@"/>
      <alignment horizontal="left" vertical="center" textRotation="0" wrapText="0" indent="0" justifyLastLine="0" shrinkToFit="0" readingOrder="0"/>
    </dxf>
    <dxf>
      <border outline="0">
        <top style="thin">
          <color indexed="64"/>
        </top>
        <bottom style="thin">
          <color indexed="64"/>
        </bottom>
      </border>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family val="2"/>
        <scheme val="none"/>
      </font>
      <alignment horizontal="right" vertical="center" textRotation="0" wrapText="1" indent="0" justifyLastLine="0" shrinkToFit="0" readingOrder="0"/>
    </dxf>
    <dxf>
      <font>
        <strike val="0"/>
        <outline val="0"/>
        <shadow val="0"/>
        <u val="none"/>
        <vertAlign val="baseline"/>
        <sz val="10"/>
        <color auto="1"/>
        <name val="Arial"/>
        <family val="2"/>
        <scheme val="none"/>
      </font>
      <numFmt numFmtId="1" formatCode="0"/>
      <alignment horizontal="right" vertical="center" textRotation="0" wrapText="0" indent="0" justifyLastLine="0" shrinkToFit="0" readingOrder="0"/>
    </dxf>
    <dxf>
      <font>
        <strike val="0"/>
        <outline val="0"/>
        <shadow val="0"/>
        <u val="none"/>
        <vertAlign val="baseline"/>
        <sz val="10"/>
        <color auto="1"/>
        <name val="Arial"/>
        <family val="2"/>
        <scheme val="none"/>
      </font>
      <numFmt numFmtId="1" formatCode="0"/>
      <alignment horizontal="right" vertical="center" textRotation="0" wrapText="0" indent="0" justifyLastLine="0" shrinkToFit="0" readingOrder="0"/>
    </dxf>
    <dxf>
      <font>
        <strike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font>
        <strike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font>
        <strike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font>
        <strike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font>
        <strike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font>
        <strike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font>
        <strike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font>
        <strike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font>
        <strike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font>
        <strike val="0"/>
        <outline val="0"/>
        <shadow val="0"/>
        <u val="none"/>
        <vertAlign val="baseline"/>
        <sz val="10"/>
        <color auto="1"/>
        <name val="Arial"/>
        <family val="2"/>
        <scheme val="none"/>
      </font>
      <numFmt numFmtId="30" formatCode="@"/>
      <alignment horizontal="lef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0" formatCode="@"/>
      <alignment horizontal="left" vertical="center" textRotation="0" wrapText="0" indent="0" justifyLastLine="0" shrinkToFit="0" readingOrder="0"/>
    </dxf>
    <dxf>
      <border outline="0">
        <top style="thin">
          <color indexed="64"/>
        </top>
      </border>
    </dxf>
    <dxf>
      <font>
        <strike val="0"/>
        <outline val="0"/>
        <shadow val="0"/>
        <u val="none"/>
        <vertAlign val="baseline"/>
        <color auto="1"/>
        <name val="Arial"/>
        <family val="2"/>
        <scheme val="none"/>
      </font>
    </dxf>
    <dxf>
      <border outline="0">
        <bottom style="thin">
          <color indexed="64"/>
        </bottom>
      </border>
    </dxf>
    <dxf>
      <font>
        <b/>
        <i val="0"/>
        <strike val="0"/>
        <condense val="0"/>
        <extend val="0"/>
        <outline val="0"/>
        <shadow val="0"/>
        <u val="none"/>
        <vertAlign val="baseline"/>
        <sz val="10"/>
        <color auto="1"/>
        <name val="Arial"/>
        <family val="2"/>
        <scheme val="none"/>
      </font>
      <alignment horizontal="center" vertical="center" textRotation="0" wrapText="1" indent="0" justifyLastLine="0" shrinkToFit="0" readingOrder="0"/>
    </dxf>
    <dxf>
      <font>
        <b/>
        <i val="0"/>
        <strike val="0"/>
        <condense val="0"/>
        <extend val="0"/>
        <outline val="0"/>
        <shadow val="0"/>
        <u val="none"/>
        <vertAlign val="baseline"/>
        <sz val="10"/>
        <color theme="1"/>
        <name val="Arial"/>
        <family val="2"/>
        <scheme val="none"/>
      </font>
      <numFmt numFmtId="2" formatCode="0.00"/>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auto="1"/>
        </patternFill>
      </fill>
    </dxf>
    <dxf>
      <border outline="0">
        <top style="thin">
          <color indexed="64"/>
        </top>
        <bottom style="thin">
          <color indexed="64"/>
        </bottom>
      </border>
    </dxf>
    <dxf>
      <font>
        <strike val="0"/>
        <outline val="0"/>
        <shadow val="0"/>
        <u val="none"/>
        <vertAlign val="baseline"/>
        <color auto="1"/>
        <name val="Arial"/>
        <family val="2"/>
        <scheme val="none"/>
      </font>
      <fill>
        <patternFill patternType="none">
          <fgColor indexed="64"/>
          <bgColor auto="1"/>
        </patternFill>
      </fill>
    </dxf>
    <dxf>
      <border outline="0">
        <bottom style="thin">
          <color indexed="64"/>
        </bottom>
      </border>
    </dxf>
    <dxf>
      <font>
        <strike val="0"/>
        <outline val="0"/>
        <shadow val="0"/>
        <u val="none"/>
        <vertAlign val="baseline"/>
        <color auto="1"/>
        <name val="Arial"/>
        <family val="2"/>
        <scheme val="none"/>
      </font>
      <fill>
        <patternFill patternType="none">
          <fgColor indexed="64"/>
          <bgColor auto="1"/>
        </patternFill>
      </fill>
    </dxf>
    <dxf>
      <font>
        <b/>
        <i val="0"/>
        <strike val="0"/>
        <condense val="0"/>
        <extend val="0"/>
        <outline val="0"/>
        <shadow val="0"/>
        <u val="none"/>
        <vertAlign val="baseline"/>
        <sz val="10"/>
        <color auto="1"/>
        <name val="Arial"/>
        <family val="2"/>
        <scheme val="none"/>
      </font>
      <numFmt numFmtId="165" formatCode="0.0"/>
      <alignment horizontal="right" vertical="center" textRotation="0" wrapText="0" indent="0" justifyLastLine="0" shrinkToFit="0" readingOrder="0"/>
    </dxf>
    <dxf>
      <font>
        <b/>
        <i val="0"/>
        <strike val="0"/>
        <condense val="0"/>
        <extend val="0"/>
        <outline val="0"/>
        <shadow val="0"/>
        <u val="none"/>
        <vertAlign val="baseline"/>
        <sz val="10"/>
        <color auto="1"/>
        <name val="Arial"/>
        <family val="2"/>
        <scheme val="none"/>
      </font>
      <numFmt numFmtId="165" formatCode="0.0"/>
      <alignment horizontal="right" vertical="center" textRotation="0" wrapText="0" indent="0" justifyLastLine="0" shrinkToFit="0" readingOrder="0"/>
    </dxf>
    <dxf>
      <font>
        <b/>
        <i val="0"/>
        <strike val="0"/>
        <condense val="0"/>
        <extend val="0"/>
        <outline val="0"/>
        <shadow val="0"/>
        <u val="none"/>
        <vertAlign val="baseline"/>
        <sz val="10"/>
        <color auto="1"/>
        <name val="Arial"/>
        <family val="2"/>
        <scheme val="none"/>
      </font>
      <numFmt numFmtId="165" formatCode="0.0"/>
      <alignment horizontal="right" vertical="center" textRotation="0" wrapText="0" indent="0" justifyLastLine="0" shrinkToFit="0" readingOrder="0"/>
    </dxf>
    <dxf>
      <font>
        <b/>
        <i val="0"/>
        <strike val="0"/>
        <condense val="0"/>
        <extend val="0"/>
        <outline val="0"/>
        <shadow val="0"/>
        <u val="none"/>
        <vertAlign val="baseline"/>
        <sz val="10"/>
        <color auto="1"/>
        <name val="Arial"/>
        <family val="2"/>
        <scheme val="none"/>
      </font>
      <numFmt numFmtId="165" formatCode="0.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3"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numFmt numFmtId="13"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3"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3"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3"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3"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3"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3"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3"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3"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3"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lef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lef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lef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left"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family val="2"/>
        <scheme val="none"/>
      </font>
      <alignment horizontal="right"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family val="2"/>
        <scheme val="none"/>
      </font>
      <alignment horizontal="center" vertical="center" textRotation="0" wrapText="1" indent="0" justifyLastLine="0" shrinkToFit="0" readingOrder="0"/>
    </dxf>
    <dxf>
      <font>
        <b/>
        <i val="0"/>
        <strike val="0"/>
        <condense val="0"/>
        <extend val="0"/>
        <outline val="0"/>
        <shadow val="0"/>
        <u val="none"/>
        <vertAlign val="baseline"/>
        <sz val="10"/>
        <color auto="1"/>
        <name val="Arial"/>
        <family val="2"/>
        <scheme val="none"/>
      </font>
      <numFmt numFmtId="165" formatCode="0.0"/>
      <alignment horizontal="right" vertical="center" textRotation="0" indent="0" justifyLastLine="0" shrinkToFit="0" readingOrder="0"/>
    </dxf>
    <dxf>
      <font>
        <b/>
        <i val="0"/>
        <strike val="0"/>
        <condense val="0"/>
        <extend val="0"/>
        <outline val="0"/>
        <shadow val="0"/>
        <u val="none"/>
        <vertAlign val="baseline"/>
        <sz val="10"/>
        <color auto="1"/>
        <name val="Arial"/>
        <family val="2"/>
        <scheme val="none"/>
      </font>
      <numFmt numFmtId="165" formatCode="0.0"/>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lef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left" vertical="center" textRotation="0" wrapText="0" indent="0" justifyLastLine="0" shrinkToFit="0" readingOrder="0"/>
    </dxf>
    <dxf>
      <border diagonalUp="0" diagonalDown="0">
        <left/>
        <right/>
        <top style="thin">
          <color indexed="64"/>
        </top>
        <bottom style="thin">
          <color indexed="64"/>
        </bottom>
      </border>
    </dxf>
    <dxf>
      <font>
        <b/>
        <i val="0"/>
        <strike val="0"/>
        <condense val="0"/>
        <extend val="0"/>
        <outline val="0"/>
        <shadow val="0"/>
        <u val="none"/>
        <vertAlign val="baseline"/>
        <sz val="10"/>
        <color auto="1"/>
        <name val="Arial"/>
        <family val="2"/>
        <scheme val="none"/>
      </font>
    </dxf>
    <dxf>
      <border outline="0">
        <bottom style="thin">
          <color indexed="64"/>
        </bottom>
      </border>
    </dxf>
    <dxf>
      <font>
        <b/>
        <i val="0"/>
        <strike val="0"/>
        <condense val="0"/>
        <extend val="0"/>
        <outline val="0"/>
        <shadow val="0"/>
        <u val="none"/>
        <vertAlign val="baseline"/>
        <sz val="10"/>
        <color auto="1"/>
        <name val="Arial"/>
        <family val="2"/>
        <scheme val="none"/>
      </font>
      <alignment horizontal="center" vertical="center" textRotation="0" wrapText="1" indent="0" justifyLastLine="0" shrinkToFit="0" readingOrder="0"/>
    </dxf>
    <dxf>
      <font>
        <b/>
        <i val="0"/>
        <strike val="0"/>
        <condense val="0"/>
        <extend val="0"/>
        <outline val="0"/>
        <shadow val="0"/>
        <u val="none"/>
        <vertAlign val="baseline"/>
        <sz val="10"/>
        <color auto="1"/>
        <name val="Arial"/>
        <family val="2"/>
        <scheme val="none"/>
      </font>
      <numFmt numFmtId="165" formatCode="0.0"/>
      <alignment horizontal="right" vertical="center" textRotation="0" wrapText="0" indent="0" justifyLastLine="0" shrinkToFit="0" readingOrder="0"/>
      <border diagonalUp="0" diagonalDown="0" outline="0">
        <left/>
        <right/>
        <top/>
        <bottom style="thin">
          <color indexed="64"/>
        </bottom>
      </border>
      <protection locked="0" hidden="0"/>
    </dxf>
    <dxf>
      <font>
        <b/>
        <i val="0"/>
        <strike val="0"/>
        <condense val="0"/>
        <extend val="0"/>
        <outline val="0"/>
        <shadow val="0"/>
        <u val="none"/>
        <vertAlign val="baseline"/>
        <sz val="10"/>
        <color auto="1"/>
        <name val="Arial"/>
        <family val="2"/>
        <scheme val="none"/>
      </font>
      <numFmt numFmtId="165" formatCode="0.0"/>
      <alignment horizontal="right" vertical="center" textRotation="0" wrapText="0" indent="0" justifyLastLine="0" shrinkToFit="0" readingOrder="0"/>
      <border diagonalUp="0" diagonalDown="0" outline="0">
        <left style="thin">
          <color indexed="64"/>
        </left>
        <right/>
        <top/>
        <bottom style="thin">
          <color indexed="64"/>
        </bottom>
      </border>
      <protection locked="0" hidden="0"/>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border diagonalUp="0" diagonalDown="0" outline="0">
        <left/>
        <right/>
        <top/>
        <bottom style="dashed">
          <color indexed="64"/>
        </bottom>
      </border>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border diagonalUp="0" diagonalDown="0" outline="0">
        <left/>
        <right/>
        <top/>
        <bottom style="dashed">
          <color indexed="64"/>
        </bottom>
      </border>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border diagonalUp="0" diagonalDown="0" outline="0">
        <left/>
        <right/>
        <top/>
        <bottom style="dashed">
          <color indexed="64"/>
        </bottom>
      </border>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border diagonalUp="0" diagonalDown="0" outline="0">
        <left/>
        <right/>
        <top/>
        <bottom style="dashed">
          <color indexed="64"/>
        </bottom>
      </border>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border diagonalUp="0" diagonalDown="0" outline="0">
        <left/>
        <right/>
        <top/>
        <bottom style="dashed">
          <color indexed="64"/>
        </bottom>
      </border>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border diagonalUp="0" diagonalDown="0" outline="0">
        <left/>
        <right/>
        <top/>
        <bottom style="dashed">
          <color indexed="64"/>
        </bottom>
      </border>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border diagonalUp="0" diagonalDown="0" outline="0">
        <left/>
        <right/>
        <top/>
        <bottom style="dashed">
          <color indexed="64"/>
        </bottom>
      </border>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border diagonalUp="0" diagonalDown="0" outline="0">
        <left/>
        <right/>
        <top/>
        <bottom style="dashed">
          <color indexed="64"/>
        </bottom>
      </border>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border diagonalUp="0" diagonalDown="0" outline="0">
        <left/>
        <right/>
        <top/>
        <bottom style="dashed">
          <color indexed="64"/>
        </bottom>
      </border>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border diagonalUp="0" diagonalDown="0" outline="0">
        <left/>
        <right/>
        <top/>
        <bottom style="dashed">
          <color indexed="64"/>
        </bottom>
      </border>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border diagonalUp="0" diagonalDown="0" outline="0">
        <left/>
        <right/>
        <top/>
        <bottom style="dashed">
          <color indexed="64"/>
        </bottom>
      </border>
    </dxf>
    <dxf>
      <font>
        <b val="0"/>
        <i val="0"/>
        <strike val="0"/>
        <condense val="0"/>
        <extend val="0"/>
        <outline val="0"/>
        <shadow val="0"/>
        <u val="none"/>
        <vertAlign val="baseline"/>
        <sz val="10"/>
        <color auto="1"/>
        <name val="Arial"/>
        <family val="2"/>
        <scheme val="none"/>
      </font>
      <alignment horizontal="left" vertical="center" textRotation="0" wrapText="0" indent="0" justifyLastLine="0" shrinkToFit="0" readingOrder="0"/>
      <border diagonalUp="0" diagonalDown="0" outline="0">
        <left/>
        <right/>
        <top/>
        <bottom style="dashed">
          <color indexed="64"/>
        </bottom>
      </border>
    </dxf>
    <dxf>
      <font>
        <b val="0"/>
        <i val="0"/>
        <strike val="0"/>
        <condense val="0"/>
        <extend val="0"/>
        <outline val="0"/>
        <shadow val="0"/>
        <u val="none"/>
        <vertAlign val="baseline"/>
        <sz val="10"/>
        <color auto="1"/>
        <name val="Arial"/>
        <family val="2"/>
        <scheme val="none"/>
      </font>
      <alignment horizontal="left" vertical="center" textRotation="0" wrapText="0" indent="0" justifyLastLine="0" shrinkToFit="0" readingOrder="0"/>
      <border diagonalUp="0" diagonalDown="0" outline="0">
        <left/>
        <right/>
        <top/>
        <bottom style="dashed">
          <color indexed="64"/>
        </bottom>
      </border>
    </dxf>
    <dxf>
      <border outline="0">
        <top style="thin">
          <color indexed="64"/>
        </top>
        <bottom style="thin">
          <color indexed="64"/>
        </bottom>
      </border>
    </dxf>
    <dxf>
      <font>
        <strike val="0"/>
        <outline val="0"/>
        <shadow val="0"/>
        <u val="none"/>
        <vertAlign val="baseline"/>
        <color auto="1"/>
        <name val="Arial"/>
        <family val="2"/>
        <scheme val="none"/>
      </font>
      <alignment vertical="center" textRotation="0" indent="0" justifyLastLine="0" shrinkToFit="0" readingOrder="0"/>
    </dxf>
    <dxf>
      <border>
        <bottom style="thin">
          <color indexed="64"/>
        </bottom>
      </border>
    </dxf>
    <dxf>
      <font>
        <b/>
        <i val="0"/>
        <strike val="0"/>
        <condense val="0"/>
        <extend val="0"/>
        <outline val="0"/>
        <shadow val="0"/>
        <u val="none"/>
        <vertAlign val="baseline"/>
        <sz val="10"/>
        <color auto="1"/>
        <name val="Arial"/>
        <family val="2"/>
        <scheme val="none"/>
      </font>
      <alignment horizontal="right" vertical="center" textRotation="0" wrapText="1" indent="0" justifyLastLine="0" shrinkToFit="0" readingOrder="0"/>
    </dxf>
    <dxf>
      <font>
        <b/>
        <i val="0"/>
        <strike val="0"/>
        <condense val="0"/>
        <extend val="0"/>
        <outline val="0"/>
        <shadow val="0"/>
        <u val="none"/>
        <vertAlign val="baseline"/>
        <sz val="10"/>
        <color auto="1"/>
        <name val="Arial"/>
        <family val="2"/>
        <scheme val="none"/>
      </font>
      <numFmt numFmtId="165" formatCode="0.0"/>
      <alignment horizontal="right" vertical="center" textRotation="0" wrapText="0" indent="0" justifyLastLine="0" shrinkToFit="0" readingOrder="0"/>
      <protection locked="0" hidden="0"/>
    </dxf>
    <dxf>
      <font>
        <b/>
        <i val="0"/>
        <strike val="0"/>
        <condense val="0"/>
        <extend val="0"/>
        <outline val="0"/>
        <shadow val="0"/>
        <u val="none"/>
        <vertAlign val="baseline"/>
        <sz val="10"/>
        <color auto="1"/>
        <name val="Arial"/>
        <family val="2"/>
        <scheme val="none"/>
      </font>
      <numFmt numFmtId="165" formatCode="0.0"/>
      <alignment horizontal="right" vertical="center" textRotation="0" wrapText="0" indent="0" justifyLastLine="0" shrinkToFit="0" readingOrder="0"/>
      <protection locked="0" hidden="0"/>
    </dxf>
    <dxf>
      <font>
        <b val="0"/>
        <i val="0"/>
        <strike val="0"/>
        <condense val="0"/>
        <extend val="0"/>
        <outline val="0"/>
        <shadow val="0"/>
        <u val="none"/>
        <vertAlign val="baseline"/>
        <sz val="10"/>
        <color auto="1"/>
        <name val="Arial"/>
        <family val="2"/>
        <scheme val="none"/>
      </font>
      <numFmt numFmtId="13" formatCode="0%"/>
      <alignment horizontal="right" vertical="center" textRotation="0" wrapText="0" indent="0" justifyLastLine="0" shrinkToFit="0" readingOrder="0"/>
      <protection locked="0" hidden="0"/>
    </dxf>
    <dxf>
      <font>
        <b val="0"/>
        <i val="0"/>
        <strike val="0"/>
        <condense val="0"/>
        <extend val="0"/>
        <outline val="0"/>
        <shadow val="0"/>
        <u val="none"/>
        <vertAlign val="baseline"/>
        <sz val="10"/>
        <color auto="1"/>
        <name val="Arial"/>
        <family val="2"/>
        <scheme val="none"/>
      </font>
      <numFmt numFmtId="13" formatCode="0%"/>
      <alignment horizontal="right" vertical="center" textRotation="0" wrapText="0" indent="0" justifyLastLine="0" shrinkToFit="0" readingOrder="0"/>
      <protection locked="0" hidden="0"/>
    </dxf>
    <dxf>
      <font>
        <b val="0"/>
        <i val="0"/>
        <strike val="0"/>
        <condense val="0"/>
        <extend val="0"/>
        <outline val="0"/>
        <shadow val="0"/>
        <u val="none"/>
        <vertAlign val="baseline"/>
        <sz val="10"/>
        <color auto="1"/>
        <name val="Arial"/>
        <family val="2"/>
        <scheme val="none"/>
      </font>
      <numFmt numFmtId="13" formatCode="0%"/>
      <alignment horizontal="right" vertical="center" textRotation="0" wrapText="0" indent="0" justifyLastLine="0" shrinkToFit="0" readingOrder="0"/>
      <protection locked="0" hidden="0"/>
    </dxf>
    <dxf>
      <font>
        <b val="0"/>
        <i val="0"/>
        <strike val="0"/>
        <condense val="0"/>
        <extend val="0"/>
        <outline val="0"/>
        <shadow val="0"/>
        <u val="none"/>
        <vertAlign val="baseline"/>
        <sz val="10"/>
        <color auto="1"/>
        <name val="Arial"/>
        <family val="2"/>
        <scheme val="none"/>
      </font>
      <numFmt numFmtId="13" formatCode="0%"/>
      <alignment horizontal="right" vertical="center" textRotation="0" wrapText="0" indent="0" justifyLastLine="0" shrinkToFit="0" readingOrder="0"/>
      <protection locked="0" hidden="0"/>
    </dxf>
    <dxf>
      <font>
        <b val="0"/>
        <i val="0"/>
        <strike val="0"/>
        <condense val="0"/>
        <extend val="0"/>
        <outline val="0"/>
        <shadow val="0"/>
        <u val="none"/>
        <vertAlign val="baseline"/>
        <sz val="10"/>
        <color auto="1"/>
        <name val="Arial"/>
        <family val="2"/>
        <scheme val="none"/>
      </font>
      <numFmt numFmtId="13" formatCode="0%"/>
      <alignment horizontal="right" vertical="center" textRotation="0" wrapText="0" indent="0" justifyLastLine="0" shrinkToFit="0" readingOrder="0"/>
      <protection locked="0" hidden="0"/>
    </dxf>
    <dxf>
      <font>
        <b val="0"/>
        <i val="0"/>
        <strike val="0"/>
        <condense val="0"/>
        <extend val="0"/>
        <outline val="0"/>
        <shadow val="0"/>
        <u val="none"/>
        <vertAlign val="baseline"/>
        <sz val="10"/>
        <color auto="1"/>
        <name val="Arial"/>
        <family val="2"/>
        <scheme val="none"/>
      </font>
      <numFmt numFmtId="13" formatCode="0%"/>
      <alignment horizontal="right" vertical="center" textRotation="0" wrapText="0" indent="0" justifyLastLine="0" shrinkToFit="0" readingOrder="0"/>
      <protection locked="0" hidden="0"/>
    </dxf>
    <dxf>
      <font>
        <b val="0"/>
        <i val="0"/>
        <strike val="0"/>
        <condense val="0"/>
        <extend val="0"/>
        <outline val="0"/>
        <shadow val="0"/>
        <u val="none"/>
        <vertAlign val="baseline"/>
        <sz val="10"/>
        <color auto="1"/>
        <name val="Arial"/>
        <family val="2"/>
        <scheme val="none"/>
      </font>
      <numFmt numFmtId="13" formatCode="0%"/>
      <alignment horizontal="right" vertical="center" textRotation="0" wrapText="0" indent="0" justifyLastLine="0" shrinkToFit="0" readingOrder="0"/>
      <protection locked="0" hidden="0"/>
    </dxf>
    <dxf>
      <font>
        <b val="0"/>
        <i val="0"/>
        <strike val="0"/>
        <condense val="0"/>
        <extend val="0"/>
        <outline val="0"/>
        <shadow val="0"/>
        <u val="none"/>
        <vertAlign val="baseline"/>
        <sz val="10"/>
        <color auto="1"/>
        <name val="Arial"/>
        <family val="2"/>
        <scheme val="none"/>
      </font>
      <numFmt numFmtId="13" formatCode="0%"/>
      <alignment horizontal="right" vertical="center" textRotation="0" wrapText="0" indent="0" justifyLastLine="0" shrinkToFit="0" readingOrder="0"/>
      <protection locked="0" hidden="0"/>
    </dxf>
    <dxf>
      <font>
        <b val="0"/>
        <i val="0"/>
        <strike val="0"/>
        <condense val="0"/>
        <extend val="0"/>
        <outline val="0"/>
        <shadow val="0"/>
        <u val="none"/>
        <vertAlign val="baseline"/>
        <sz val="10"/>
        <color auto="1"/>
        <name val="Arial"/>
        <family val="2"/>
        <scheme val="none"/>
      </font>
      <numFmt numFmtId="13" formatCode="0%"/>
      <alignment horizontal="right" vertical="center" textRotation="0" wrapText="0" indent="0" justifyLastLine="0" shrinkToFit="0" readingOrder="0"/>
      <protection locked="0" hidden="0"/>
    </dxf>
    <dxf>
      <font>
        <b val="0"/>
        <i val="0"/>
        <strike val="0"/>
        <condense val="0"/>
        <extend val="0"/>
        <outline val="0"/>
        <shadow val="0"/>
        <u val="none"/>
        <vertAlign val="baseline"/>
        <sz val="10"/>
        <color auto="1"/>
        <name val="Arial"/>
        <family val="2"/>
        <scheme val="none"/>
      </font>
      <numFmt numFmtId="13" formatCode="0%"/>
      <alignment horizontal="right" vertical="center" textRotation="0" wrapText="0" indent="0" justifyLastLine="0" shrinkToFit="0" readingOrder="0"/>
      <protection locked="0" hidden="0"/>
    </dxf>
    <dxf>
      <font>
        <b val="0"/>
        <i val="0"/>
        <strike val="0"/>
        <condense val="0"/>
        <extend val="0"/>
        <outline val="0"/>
        <shadow val="0"/>
        <u val="none"/>
        <vertAlign val="baseline"/>
        <sz val="10"/>
        <color auto="1"/>
        <name val="Arial"/>
        <family val="2"/>
        <scheme val="none"/>
      </font>
      <numFmt numFmtId="13" formatCode="0%"/>
      <alignment horizontal="right" vertical="center" textRotation="0" wrapText="0" indent="0" justifyLastLine="0" shrinkToFit="0" readingOrder="0"/>
      <protection locked="0" hidden="0"/>
    </dxf>
    <dxf>
      <border diagonalUp="0" diagonalDown="0">
        <left/>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10"/>
        <color auto="1"/>
        <name val="Arial"/>
        <family val="2"/>
        <scheme val="none"/>
      </font>
      <alignment horizontal="right" vertical="center" textRotation="0" wrapText="1" indent="0" justifyLastLine="0" shrinkToFit="0" readingOrder="0"/>
      <protection locked="0" hidden="0"/>
    </dxf>
    <dxf>
      <font>
        <b/>
        <i val="0"/>
        <strike val="0"/>
        <condense val="0"/>
        <extend val="0"/>
        <outline val="0"/>
        <shadow val="0"/>
        <u val="none"/>
        <vertAlign val="baseline"/>
        <sz val="10"/>
        <color theme="1"/>
        <name val="Arial"/>
        <family val="2"/>
        <scheme val="none"/>
      </font>
      <numFmt numFmtId="169" formatCode="#,##0.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0" formatCode="@"/>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0" formatCode="@"/>
      <alignment horizontal="lef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0" formatCode="@"/>
      <alignment horizontal="left" vertical="center" textRotation="0" wrapText="0" indent="0" justifyLastLine="0" shrinkToFit="0" readingOrder="0"/>
    </dxf>
    <dxf>
      <border outline="0">
        <top style="thin">
          <color indexed="64"/>
        </top>
        <bottom style="thin">
          <color indexed="64"/>
        </bottom>
      </border>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family val="2"/>
        <scheme val="none"/>
      </font>
      <alignment horizontal="right" vertical="center" textRotation="0" wrapText="1" indent="0" justifyLastLine="0" shrinkToFit="0" readingOrder="0"/>
    </dxf>
    <dxf>
      <font>
        <b/>
        <i val="0"/>
        <strike val="0"/>
        <condense val="0"/>
        <extend val="0"/>
        <outline val="0"/>
        <shadow val="0"/>
        <u val="none"/>
        <vertAlign val="baseline"/>
        <sz val="10"/>
        <color auto="1"/>
        <name val="Arial"/>
        <family val="2"/>
        <scheme val="none"/>
      </font>
      <numFmt numFmtId="165" formatCode="0.0"/>
      <alignment horizontal="right" vertical="center" textRotation="0" indent="0" justifyLastLine="0" shrinkToFit="0" readingOrder="0"/>
    </dxf>
    <dxf>
      <font>
        <b/>
        <i val="0"/>
        <strike val="0"/>
        <condense val="0"/>
        <extend val="0"/>
        <outline val="0"/>
        <shadow val="0"/>
        <u val="none"/>
        <vertAlign val="baseline"/>
        <sz val="10"/>
        <color auto="1"/>
        <name val="Arial"/>
        <family val="2"/>
        <scheme val="none"/>
      </font>
      <numFmt numFmtId="13"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lef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left" vertical="center" textRotation="0" wrapText="0" indent="0" justifyLastLine="0" shrinkToFit="0" readingOrder="0"/>
    </dxf>
    <dxf>
      <border outline="0">
        <top style="thin">
          <color indexed="64"/>
        </top>
        <bottom style="thin">
          <color indexed="64"/>
        </bottom>
      </border>
    </dxf>
    <dxf>
      <font>
        <b val="0"/>
        <i val="0"/>
        <strike val="0"/>
        <condense val="0"/>
        <extend val="0"/>
        <outline val="0"/>
        <shadow val="0"/>
        <u val="none"/>
        <vertAlign val="baseline"/>
        <sz val="10"/>
        <color auto="1"/>
        <name val="Arial"/>
        <family val="2"/>
        <scheme val="none"/>
      </font>
    </dxf>
    <dxf>
      <border outline="0">
        <bottom style="thin">
          <color indexed="64"/>
        </bottom>
      </border>
    </dxf>
    <dxf>
      <font>
        <b/>
        <i val="0"/>
        <strike val="0"/>
        <condense val="0"/>
        <extend val="0"/>
        <outline val="0"/>
        <shadow val="0"/>
        <u val="none"/>
        <vertAlign val="baseline"/>
        <sz val="10"/>
        <color auto="1"/>
        <name val="Arial"/>
        <family val="2"/>
        <scheme val="none"/>
      </font>
      <alignment horizontal="center" vertical="center" textRotation="0" wrapText="1" indent="0" justifyLastLine="0" shrinkToFit="0" readingOrder="0"/>
    </dxf>
    <dxf>
      <font>
        <b/>
        <i val="0"/>
        <strike val="0"/>
        <condense val="0"/>
        <extend val="0"/>
        <outline val="0"/>
        <shadow val="0"/>
        <u val="none"/>
        <vertAlign val="baseline"/>
        <sz val="10"/>
        <color auto="1"/>
        <name val="Arial"/>
        <family val="2"/>
        <scheme val="none"/>
      </font>
      <numFmt numFmtId="165" formatCode="0.0"/>
      <fill>
        <patternFill patternType="none">
          <fgColor indexed="64"/>
          <bgColor indexed="65"/>
        </patternFill>
      </fill>
      <alignment horizontal="right" vertical="center" textRotation="0" wrapText="0" indent="0" justifyLastLine="0" shrinkToFit="0" readingOrder="0"/>
    </dxf>
    <dxf>
      <font>
        <b/>
        <i val="0"/>
        <strike val="0"/>
        <condense val="0"/>
        <extend val="0"/>
        <outline val="0"/>
        <shadow val="0"/>
        <u val="none"/>
        <vertAlign val="baseline"/>
        <sz val="10"/>
        <color auto="1"/>
        <name val="Arial"/>
        <family val="2"/>
        <scheme val="none"/>
      </font>
      <numFmt numFmtId="165" formatCode="0.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lef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left" vertical="center" textRotation="0" wrapText="0" indent="0" justifyLastLine="0" shrinkToFit="0" readingOrder="0"/>
    </dxf>
    <dxf>
      <font>
        <strike val="0"/>
        <outline val="0"/>
        <shadow val="0"/>
        <u val="none"/>
        <vertAlign val="baseline"/>
        <color auto="1"/>
        <name val="Arial"/>
        <family val="2"/>
        <scheme val="none"/>
      </font>
    </dxf>
    <dxf>
      <border>
        <bottom style="thin">
          <color indexed="64"/>
        </bottom>
      </border>
    </dxf>
    <dxf>
      <font>
        <b/>
        <i val="0"/>
        <strike val="0"/>
        <condense val="0"/>
        <extend val="0"/>
        <outline val="0"/>
        <shadow val="0"/>
        <u val="none"/>
        <vertAlign val="baseline"/>
        <sz val="10"/>
        <color auto="1"/>
        <name val="Arial"/>
        <family val="2"/>
        <scheme val="none"/>
      </font>
      <alignment horizontal="right" vertical="center" textRotation="0" wrapText="1" indent="0" justifyLastLine="0" shrinkToFit="0" readingOrder="0"/>
    </dxf>
    <dxf>
      <font>
        <b/>
        <i val="0"/>
        <strike val="0"/>
        <condense val="0"/>
        <extend val="0"/>
        <outline val="0"/>
        <shadow val="0"/>
        <u val="none"/>
        <vertAlign val="baseline"/>
        <sz val="10"/>
        <color auto="1"/>
        <name val="Arial"/>
        <family val="2"/>
        <scheme val="none"/>
      </font>
      <numFmt numFmtId="165" formatCode="0.0"/>
      <alignment horizontal="right" vertical="center" textRotation="0" indent="0" justifyLastLine="0" shrinkToFit="0" readingOrder="0"/>
    </dxf>
    <dxf>
      <font>
        <b/>
        <i val="0"/>
        <strike val="0"/>
        <condense val="0"/>
        <extend val="0"/>
        <outline val="0"/>
        <shadow val="0"/>
        <u val="none"/>
        <vertAlign val="baseline"/>
        <sz val="10"/>
        <color auto="1"/>
        <name val="Arial"/>
        <family val="2"/>
        <scheme val="none"/>
      </font>
      <numFmt numFmtId="165" formatCode="0.0"/>
      <alignment horizontal="right" vertical="center" textRotation="0" indent="0" justifyLastLine="0" shrinkToFit="0" readingOrder="0"/>
    </dxf>
    <dxf>
      <font>
        <strike val="0"/>
        <outline val="0"/>
        <shadow val="0"/>
        <u val="none"/>
        <vertAlign val="baseline"/>
        <color auto="1"/>
        <name val="Arial"/>
        <family val="2"/>
        <scheme val="none"/>
      </font>
      <alignment horizontal="right" vertical="center" textRotation="0" indent="0" justifyLastLine="0" shrinkToFit="0" readingOrder="0"/>
    </dxf>
    <dxf>
      <font>
        <strike val="0"/>
        <outline val="0"/>
        <shadow val="0"/>
        <u val="none"/>
        <vertAlign val="baseline"/>
        <color auto="1"/>
        <name val="Arial"/>
        <family val="2"/>
        <scheme val="none"/>
      </font>
      <alignment horizontal="right" vertical="center" textRotation="0" indent="0" justifyLastLine="0" shrinkToFit="0" readingOrder="0"/>
    </dxf>
    <dxf>
      <font>
        <strike val="0"/>
        <outline val="0"/>
        <shadow val="0"/>
        <u val="none"/>
        <vertAlign val="baseline"/>
        <color auto="1"/>
        <name val="Arial"/>
        <family val="2"/>
        <scheme val="none"/>
      </font>
      <alignment horizontal="right" vertical="center" textRotation="0" indent="0" justifyLastLine="0" shrinkToFit="0" readingOrder="0"/>
    </dxf>
    <dxf>
      <font>
        <strike val="0"/>
        <outline val="0"/>
        <shadow val="0"/>
        <u val="none"/>
        <vertAlign val="baseline"/>
        <color auto="1"/>
        <name val="Arial"/>
        <family val="2"/>
        <scheme val="none"/>
      </font>
      <alignment horizontal="right" vertical="center" textRotation="0" indent="0" justifyLastLine="0" shrinkToFit="0" readingOrder="0"/>
    </dxf>
    <dxf>
      <font>
        <strike val="0"/>
        <outline val="0"/>
        <shadow val="0"/>
        <u val="none"/>
        <vertAlign val="baseline"/>
        <color auto="1"/>
        <name val="Arial"/>
        <family val="2"/>
        <scheme val="none"/>
      </font>
      <alignment horizontal="right" vertical="center" textRotation="0" indent="0" justifyLastLine="0" shrinkToFit="0" readingOrder="0"/>
    </dxf>
    <dxf>
      <font>
        <strike val="0"/>
        <outline val="0"/>
        <shadow val="0"/>
        <u val="none"/>
        <vertAlign val="baseline"/>
        <color auto="1"/>
        <name val="Arial"/>
        <family val="2"/>
        <scheme val="none"/>
      </font>
      <alignment horizontal="right" vertical="center" textRotation="0" indent="0" justifyLastLine="0" shrinkToFit="0" readingOrder="0"/>
    </dxf>
    <dxf>
      <font>
        <strike val="0"/>
        <outline val="0"/>
        <shadow val="0"/>
        <u val="none"/>
        <vertAlign val="baseline"/>
        <color auto="1"/>
        <name val="Arial"/>
        <family val="2"/>
        <scheme val="none"/>
      </font>
      <alignment horizontal="right" vertical="center" textRotation="0" indent="0" justifyLastLine="0" shrinkToFit="0" readingOrder="0"/>
    </dxf>
    <dxf>
      <font>
        <strike val="0"/>
        <outline val="0"/>
        <shadow val="0"/>
        <u val="none"/>
        <vertAlign val="baseline"/>
        <color auto="1"/>
        <name val="Arial"/>
        <family val="2"/>
        <scheme val="none"/>
      </font>
      <alignment horizontal="right" vertical="center" textRotation="0" indent="0" justifyLastLine="0" shrinkToFit="0" readingOrder="0"/>
    </dxf>
    <dxf>
      <font>
        <strike val="0"/>
        <outline val="0"/>
        <shadow val="0"/>
        <u val="none"/>
        <vertAlign val="baseline"/>
        <color auto="1"/>
        <name val="Arial"/>
        <family val="2"/>
        <scheme val="none"/>
      </font>
      <alignment horizontal="right" vertical="center" textRotation="0" indent="0" justifyLastLine="0" shrinkToFit="0" readingOrder="0"/>
    </dxf>
    <dxf>
      <font>
        <strike val="0"/>
        <outline val="0"/>
        <shadow val="0"/>
        <u val="none"/>
        <vertAlign val="baseline"/>
        <color auto="1"/>
        <name val="Arial"/>
        <family val="2"/>
        <scheme val="none"/>
      </font>
      <alignment horizontal="right" vertical="center" textRotation="0" indent="0" justifyLastLine="0" shrinkToFit="0" readingOrder="0"/>
    </dxf>
    <dxf>
      <font>
        <strike val="0"/>
        <outline val="0"/>
        <shadow val="0"/>
        <u val="none"/>
        <vertAlign val="baseline"/>
        <color auto="1"/>
        <name val="Arial"/>
        <family val="2"/>
        <scheme val="none"/>
      </font>
      <alignment horizontal="right" vertical="center" textRotation="0" indent="0" justifyLastLine="0" shrinkToFit="0" readingOrder="0"/>
    </dxf>
    <dxf>
      <font>
        <strike val="0"/>
        <outline val="0"/>
        <shadow val="0"/>
        <u val="none"/>
        <vertAlign val="baseline"/>
        <color auto="1"/>
        <name val="Arial"/>
        <family val="2"/>
        <scheme val="none"/>
      </font>
      <alignment horizontal="left" vertical="center" textRotation="0" indent="0" justifyLastLine="0" shrinkToFit="0" readingOrder="0"/>
    </dxf>
    <dxf>
      <font>
        <strike val="0"/>
        <outline val="0"/>
        <shadow val="0"/>
        <u val="none"/>
        <vertAlign val="baseline"/>
        <color auto="1"/>
        <name val="Arial"/>
        <family val="2"/>
        <scheme val="none"/>
      </font>
    </dxf>
    <dxf>
      <border outline="0">
        <top style="thin">
          <color indexed="64"/>
        </top>
        <bottom style="thin">
          <color indexed="64"/>
        </bottom>
      </border>
    </dxf>
    <dxf>
      <font>
        <b/>
        <i val="0"/>
        <strike val="0"/>
        <condense val="0"/>
        <extend val="0"/>
        <outline val="0"/>
        <shadow val="0"/>
        <u val="none"/>
        <vertAlign val="baseline"/>
        <sz val="10"/>
        <color auto="1"/>
        <name val="Arial"/>
        <family val="2"/>
        <scheme val="none"/>
      </font>
    </dxf>
    <dxf>
      <border outline="0">
        <bottom style="thin">
          <color indexed="64"/>
        </bottom>
      </border>
    </dxf>
    <dxf>
      <font>
        <b/>
        <i val="0"/>
        <strike val="0"/>
        <condense val="0"/>
        <extend val="0"/>
        <outline val="0"/>
        <shadow val="0"/>
        <u val="none"/>
        <vertAlign val="baseline"/>
        <sz val="10"/>
        <color auto="1"/>
        <name val="Arial"/>
        <family val="2"/>
        <scheme val="none"/>
      </font>
      <alignment horizontal="center" vertical="center" textRotation="0" wrapText="1" indent="0" justifyLastLine="0" shrinkToFit="0" readingOrder="0"/>
    </dxf>
    <dxf>
      <font>
        <b/>
        <i val="0"/>
        <strike val="0"/>
        <condense val="0"/>
        <extend val="0"/>
        <outline val="0"/>
        <shadow val="0"/>
        <u val="none"/>
        <vertAlign val="baseline"/>
        <sz val="10"/>
        <color auto="1"/>
        <name val="Arial"/>
        <family val="2"/>
        <scheme val="none"/>
      </font>
      <numFmt numFmtId="164" formatCode="_-* #,##0_-;\-* #,##0_-;_-* &quot;-&quot;??_-;_-@_-"/>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4" formatCode="_-* #,##0_-;\-* #,##0_-;_-* &quot;-&quot;??_-;_-@_-"/>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numFmt numFmtId="164" formatCode="_-* #,##0_-;\-* #,##0_-;_-* &quot;-&quot;??_-;_-@_-"/>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numFmt numFmtId="164" formatCode="_-* #,##0_-;\-* #,##0_-;_-* &quot;-&quot;??_-;_-@_-"/>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numFmt numFmtId="164" formatCode="_-* #,##0_-;\-* #,##0_-;_-* &quot;-&quot;??_-;_-@_-"/>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numFmt numFmtId="164" formatCode="_-* #,##0_-;\-* #,##0_-;_-* &quot;-&quot;??_-;_-@_-"/>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numFmt numFmtId="164" formatCode="_-* #,##0_-;\-* #,##0_-;_-* &quot;-&quot;??_-;_-@_-"/>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numFmt numFmtId="164" formatCode="_-* #,##0_-;\-* #,##0_-;_-* &quot;-&quot;??_-;_-@_-"/>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numFmt numFmtId="164" formatCode="_-* #,##0_-;\-* #,##0_-;_-* &quot;-&quot;??_-;_-@_-"/>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numFmt numFmtId="164" formatCode="_-* #,##0_-;\-* #,##0_-;_-* &quot;-&quot;??_-;_-@_-"/>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numFmt numFmtId="164" formatCode="_-* #,##0_-;\-* #,##0_-;_-* &quot;-&quot;??_-;_-@_-"/>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numFmt numFmtId="164" formatCode="_-* #,##0_-;\-* #,##0_-;_-* &quot;-&quot;??_-;_-@_-"/>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numFmt numFmtId="164" formatCode="_-* #,##0_-;\-* #,##0_-;_-* &quot;-&quot;??_-;_-@_-"/>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alignment horizontal="left" vertical="center" textRotation="0" wrapText="0" indent="0" justifyLastLine="0" shrinkToFit="0" readingOrder="0"/>
    </dxf>
    <dxf>
      <border outline="0">
        <top style="thin">
          <color indexed="64"/>
        </top>
        <bottom style="thin">
          <color indexed="64"/>
        </bottom>
      </border>
    </dxf>
    <dxf>
      <font>
        <b val="0"/>
        <i val="0"/>
        <strike val="0"/>
        <condense val="0"/>
        <extend val="0"/>
        <outline val="0"/>
        <shadow val="0"/>
        <u val="none"/>
        <vertAlign val="baseline"/>
        <sz val="10"/>
        <color auto="1"/>
        <name val="Arial"/>
        <family val="2"/>
        <scheme val="none"/>
      </font>
    </dxf>
    <dxf>
      <border outline="0">
        <bottom style="thin">
          <color indexed="64"/>
        </bottom>
      </border>
    </dxf>
    <dxf>
      <font>
        <b/>
        <i val="0"/>
        <strike val="0"/>
        <condense val="0"/>
        <extend val="0"/>
        <outline val="0"/>
        <shadow val="0"/>
        <u val="none"/>
        <vertAlign val="baseline"/>
        <sz val="10"/>
        <color auto="1"/>
        <name val="Arial"/>
        <family val="2"/>
        <scheme val="none"/>
      </font>
      <alignment horizontal="center" vertical="center" textRotation="0" wrapText="0" indent="0" justifyLastLine="0" shrinkToFit="0" readingOrder="0"/>
    </dxf>
    <dxf>
      <font>
        <b/>
        <i val="0"/>
        <strike val="0"/>
        <condense val="0"/>
        <extend val="0"/>
        <outline val="0"/>
        <shadow val="0"/>
        <u val="none"/>
        <vertAlign val="baseline"/>
        <sz val="10"/>
        <color auto="1"/>
        <name val="Arial"/>
        <family val="2"/>
        <scheme val="none"/>
      </font>
      <numFmt numFmtId="1" formatCode="0"/>
    </dxf>
    <dxf>
      <font>
        <b/>
        <i val="0"/>
        <strike val="0"/>
        <condense val="0"/>
        <extend val="0"/>
        <outline val="0"/>
        <shadow val="0"/>
        <u val="none"/>
        <vertAlign val="baseline"/>
        <sz val="10"/>
        <color auto="1"/>
        <name val="Arial"/>
        <family val="2"/>
        <scheme val="none"/>
      </font>
      <numFmt numFmtId="1" formatCode="0"/>
    </dxf>
    <dxf>
      <font>
        <b val="0"/>
        <i val="0"/>
        <strike val="0"/>
        <condense val="0"/>
        <extend val="0"/>
        <outline val="0"/>
        <shadow val="0"/>
        <u val="none"/>
        <vertAlign val="baseline"/>
        <sz val="10"/>
        <color auto="1"/>
        <name val="Arial"/>
        <family val="2"/>
        <scheme val="none"/>
      </font>
    </dxf>
    <dxf>
      <font>
        <b val="0"/>
        <i val="0"/>
        <strike val="0"/>
        <condense val="0"/>
        <extend val="0"/>
        <outline val="0"/>
        <shadow val="0"/>
        <u val="none"/>
        <vertAlign val="baseline"/>
        <sz val="10"/>
        <color auto="1"/>
        <name val="Arial"/>
        <family val="2"/>
        <scheme val="none"/>
      </font>
    </dxf>
    <dxf>
      <font>
        <b val="0"/>
        <i val="0"/>
        <strike val="0"/>
        <condense val="0"/>
        <extend val="0"/>
        <outline val="0"/>
        <shadow val="0"/>
        <u val="none"/>
        <vertAlign val="baseline"/>
        <sz val="10"/>
        <color auto="1"/>
        <name val="Arial"/>
        <family val="2"/>
        <scheme val="none"/>
      </font>
    </dxf>
    <dxf>
      <font>
        <b val="0"/>
        <i val="0"/>
        <strike val="0"/>
        <condense val="0"/>
        <extend val="0"/>
        <outline val="0"/>
        <shadow val="0"/>
        <u val="none"/>
        <vertAlign val="baseline"/>
        <sz val="10"/>
        <color auto="1"/>
        <name val="Arial"/>
        <family val="2"/>
        <scheme val="none"/>
      </font>
    </dxf>
    <dxf>
      <font>
        <b val="0"/>
        <i val="0"/>
        <strike val="0"/>
        <condense val="0"/>
        <extend val="0"/>
        <outline val="0"/>
        <shadow val="0"/>
        <u val="none"/>
        <vertAlign val="baseline"/>
        <sz val="10"/>
        <color auto="1"/>
        <name val="Arial"/>
        <family val="2"/>
        <scheme val="none"/>
      </font>
    </dxf>
    <dxf>
      <font>
        <b val="0"/>
        <i val="0"/>
        <strike val="0"/>
        <condense val="0"/>
        <extend val="0"/>
        <outline val="0"/>
        <shadow val="0"/>
        <u val="none"/>
        <vertAlign val="baseline"/>
        <sz val="10"/>
        <color auto="1"/>
        <name val="Arial"/>
        <family val="2"/>
        <scheme val="none"/>
      </font>
    </dxf>
    <dxf>
      <font>
        <b val="0"/>
        <i val="0"/>
        <strike val="0"/>
        <condense val="0"/>
        <extend val="0"/>
        <outline val="0"/>
        <shadow val="0"/>
        <u val="none"/>
        <vertAlign val="baseline"/>
        <sz val="10"/>
        <color auto="1"/>
        <name val="Arial"/>
        <family val="2"/>
        <scheme val="none"/>
      </font>
    </dxf>
    <dxf>
      <font>
        <b val="0"/>
        <i val="0"/>
        <strike val="0"/>
        <condense val="0"/>
        <extend val="0"/>
        <outline val="0"/>
        <shadow val="0"/>
        <u val="none"/>
        <vertAlign val="baseline"/>
        <sz val="10"/>
        <color auto="1"/>
        <name val="Arial"/>
        <family val="2"/>
        <scheme val="none"/>
      </font>
    </dxf>
    <dxf>
      <font>
        <b val="0"/>
        <i val="0"/>
        <strike val="0"/>
        <condense val="0"/>
        <extend val="0"/>
        <outline val="0"/>
        <shadow val="0"/>
        <u val="none"/>
        <vertAlign val="baseline"/>
        <sz val="10"/>
        <color auto="1"/>
        <name val="Arial"/>
        <family val="2"/>
        <scheme val="none"/>
      </font>
    </dxf>
    <dxf>
      <font>
        <b val="0"/>
        <i val="0"/>
        <strike val="0"/>
        <condense val="0"/>
        <extend val="0"/>
        <outline val="0"/>
        <shadow val="0"/>
        <u val="none"/>
        <vertAlign val="baseline"/>
        <sz val="10"/>
        <color auto="1"/>
        <name val="Arial"/>
        <family val="2"/>
        <scheme val="none"/>
      </font>
    </dxf>
    <dxf>
      <font>
        <b val="0"/>
        <i val="0"/>
        <strike val="0"/>
        <condense val="0"/>
        <extend val="0"/>
        <outline val="0"/>
        <shadow val="0"/>
        <u val="none"/>
        <vertAlign val="baseline"/>
        <sz val="10"/>
        <color auto="1"/>
        <name val="Arial"/>
        <family val="2"/>
        <scheme val="none"/>
      </font>
    </dxf>
    <dxf>
      <font>
        <b val="0"/>
        <i val="0"/>
        <strike val="0"/>
        <condense val="0"/>
        <extend val="0"/>
        <outline val="0"/>
        <shadow val="0"/>
        <u val="none"/>
        <vertAlign val="baseline"/>
        <sz val="10"/>
        <color auto="1"/>
        <name val="Arial"/>
        <family val="2"/>
        <scheme val="none"/>
      </font>
    </dxf>
    <dxf>
      <font>
        <b val="0"/>
        <i val="0"/>
        <strike val="0"/>
        <condense val="0"/>
        <extend val="0"/>
        <outline val="0"/>
        <shadow val="0"/>
        <u val="none"/>
        <vertAlign val="baseline"/>
        <sz val="10"/>
        <color auto="1"/>
        <name val="Arial"/>
        <family val="2"/>
        <scheme val="none"/>
      </font>
    </dxf>
    <dxf>
      <border outline="0">
        <top style="thin">
          <color indexed="64"/>
        </top>
        <bottom style="thin">
          <color indexed="64"/>
        </bottom>
      </border>
    </dxf>
    <dxf>
      <border outline="0">
        <bottom style="thin">
          <color indexed="64"/>
        </bottom>
      </border>
    </dxf>
    <dxf>
      <font>
        <b/>
        <i val="0"/>
        <strike val="0"/>
        <condense val="0"/>
        <extend val="0"/>
        <outline val="0"/>
        <shadow val="0"/>
        <u val="none"/>
        <vertAlign val="baseline"/>
        <sz val="10"/>
        <color auto="1"/>
        <name val="Arial"/>
        <family val="2"/>
        <scheme val="none"/>
      </font>
      <alignment horizontal="right" vertical="center" textRotation="0" wrapText="1"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left" vertical="center" textRotation="0" wrapText="1"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center" vertical="center" textRotation="0" wrapText="0" indent="0" justifyLastLine="0" shrinkToFit="0" readingOrder="0"/>
    </dxf>
    <dxf>
      <font>
        <strike val="0"/>
        <outline val="0"/>
        <shadow val="0"/>
        <u val="none"/>
        <vertAlign val="baseline"/>
        <color auto="1"/>
        <name val="Arial"/>
        <family val="2"/>
        <scheme val="none"/>
      </font>
      <fill>
        <patternFill patternType="none">
          <fgColor indexed="64"/>
          <bgColor auto="1"/>
        </patternFill>
      </fill>
    </dxf>
    <dxf>
      <font>
        <b/>
        <i val="0"/>
        <strike val="0"/>
        <condense val="0"/>
        <extend val="0"/>
        <outline val="0"/>
        <shadow val="0"/>
        <u val="none"/>
        <vertAlign val="baseline"/>
        <sz val="12"/>
        <color auto="1"/>
        <name val="Arial"/>
        <family val="2"/>
        <scheme val="none"/>
      </font>
    </dxf>
  </dxfs>
  <tableStyles count="0" defaultTableStyle="TableStyleMedium2" defaultPivotStyle="PivotStyleLight16"/>
  <colors>
    <mruColors>
      <color rgb="FF7BC143"/>
      <color rgb="FFFAA61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28"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ustomXml" Target="../customXml/item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4673BD58-DABD-48E9-B78D-AFE03238733B}" name="Notes" displayName="Notes" ref="A3:B23" totalsRowShown="0" headerRowDxfId="407" dataDxfId="406">
  <sortState xmlns:xlrd2="http://schemas.microsoft.com/office/spreadsheetml/2017/richdata2" ref="A4:B19">
    <sortCondition ref="A5:A19"/>
  </sortState>
  <tableColumns count="2">
    <tableColumn id="1" xr3:uid="{ACA6AEFB-F334-43AE-B04F-F10170443E9D}" name="Note number" dataDxfId="405"/>
    <tableColumn id="2" xr3:uid="{9ED9D7B4-D88F-4999-8C6D-678A0468E1D6}" name="Note text" dataDxfId="404"/>
  </tableColumns>
  <tableStyleInfo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294BF470-EA84-4627-8693-6AB4224B82CC}" name="AvgMonthlyPop_YearlybyLegalBasis_Ethnicity" displayName="AvgMonthlyPop_YearlybyLegalBasis_Ethnicity" ref="A5:O37" totalsRowShown="0" headerRowDxfId="259" dataDxfId="257" headerRowBorderDxfId="258" tableBorderDxfId="256">
  <tableColumns count="15">
    <tableColumn id="16" xr3:uid="{1268CCF2-5286-4667-B607-02FB9E5C779C}" name="Number or proportion" dataDxfId="255"/>
    <tableColumn id="1" xr3:uid="{83DAAAEA-8DA9-4689-9553-47A9975AAF4B}" name="Legal basis and ethnic group" dataDxfId="254"/>
    <tableColumn id="2" xr3:uid="{200E89F7-E82F-484D-BEE6-C14763B387EC}" name="2015" dataDxfId="253"/>
    <tableColumn id="3" xr3:uid="{CDE2F68C-0D8F-4B5B-8240-55CDA40252A0}" name="2016" dataDxfId="252"/>
    <tableColumn id="4" xr3:uid="{FDDB933F-CBEC-44DC-9B8C-6505C5AE0C35}" name="2017" dataDxfId="251"/>
    <tableColumn id="5" xr3:uid="{2D844743-D219-4FAB-9E7E-F3BE0D918DE4}" name="2018" dataDxfId="250"/>
    <tableColumn id="6" xr3:uid="{1452EF8B-187E-4D99-8BDE-8DB859895E19}" name="2019" dataDxfId="249"/>
    <tableColumn id="7" xr3:uid="{EF3C8BE9-5224-4BA6-B0AC-57E6DAF41021}" name="2020" dataDxfId="248"/>
    <tableColumn id="8" xr3:uid="{92A60DF5-3051-4E57-9838-223ECCA37DEC}" name="2021" dataDxfId="247"/>
    <tableColumn id="9" xr3:uid="{4037E0AA-7AB2-4566-A64D-4E810BC3A139}" name="2022" dataDxfId="246"/>
    <tableColumn id="10" xr3:uid="{C894D5BB-7B4E-46FB-A596-3A730D4BF4A3}" name="2023" dataDxfId="245"/>
    <tableColumn id="11" xr3:uid="{097BD04A-80C2-42E5-BA98-87355025FCC5}" name="2024" dataDxfId="244"/>
    <tableColumn id="12" xr3:uid="{E3188743-F386-45B9-86A8-215F9966C2A9}" name="2025" dataDxfId="243"/>
    <tableColumn id="13" xr3:uid="{4C0E4698-0563-4D2A-9E72-F9401FDC7C50}" name="% change March 2015 to March 2025" dataDxfId="242">
      <calculatedColumnFormula>SUM(M6-C6)*100</calculatedColumnFormula>
    </tableColumn>
    <tableColumn id="15" xr3:uid="{1CB63356-D2AF-4E9F-AD51-8D912D448399}" name="% change March 2024 to March 2025" dataDxfId="241">
      <calculatedColumnFormula>SUM(M6-L6)*100</calculatedColumnFormula>
    </tableColumn>
  </tableColumns>
  <tableStyleInfo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414EA78D-F065-4838-86BE-2F069AC406EB}" name="AvgMonthlyPop_YearlyNumbyRegion" displayName="AvgMonthlyPop_YearlyNumbyRegion" ref="A6:O28" totalsRowShown="0" headerRowDxfId="240" dataDxfId="238" headerRowBorderDxfId="239" tableBorderDxfId="237">
  <tableColumns count="15">
    <tableColumn id="16" xr3:uid="{3CCD8517-249A-40C0-B2A9-85F214BD9983}" name="Number or proportion" dataDxfId="236" totalsRowDxfId="235"/>
    <tableColumn id="1" xr3:uid="{C7E4C87F-F0C1-4A76-9626-8769920F4291}" name="Region" dataDxfId="234" totalsRowDxfId="233"/>
    <tableColumn id="2" xr3:uid="{7EBD5331-12D2-4727-874F-4B04EC3421C9}" name="2015" dataDxfId="232" totalsRowDxfId="231"/>
    <tableColumn id="3" xr3:uid="{705F1A35-F815-4253-B0B8-B776AD9C95D6}" name="2016" dataDxfId="230" totalsRowDxfId="229"/>
    <tableColumn id="4" xr3:uid="{AF276D02-C452-4843-B188-8E42044E6969}" name="2017" dataDxfId="228" totalsRowDxfId="227"/>
    <tableColumn id="5" xr3:uid="{F5105347-5C34-4D56-AE55-20B58BB562D6}" name="2018" dataDxfId="226" totalsRowDxfId="225"/>
    <tableColumn id="6" xr3:uid="{74A1E7AD-75F6-45ED-AA68-55585642E541}" name="2019" dataDxfId="224" totalsRowDxfId="223"/>
    <tableColumn id="7" xr3:uid="{3F159F6E-C9C5-4E60-B9F8-5F5EF239273F}" name="2020" dataDxfId="222" totalsRowDxfId="221"/>
    <tableColumn id="8" xr3:uid="{9F51CC20-2CF5-4DF7-A0B4-01F9370BE728}" name="2021" dataDxfId="220" totalsRowDxfId="219"/>
    <tableColumn id="9" xr3:uid="{CC4D1E0F-4FF4-4B62-976A-ED9114D50A00}" name="2022" dataDxfId="218" totalsRowDxfId="217"/>
    <tableColumn id="10" xr3:uid="{0ED0C05D-0681-4030-A8F7-61E2C659DF72}" name="2023" dataDxfId="216" totalsRowDxfId="215"/>
    <tableColumn id="11" xr3:uid="{8C7253A5-288C-4409-A5A6-F2536B0A5010}" name="2024" dataDxfId="214" totalsRowDxfId="213"/>
    <tableColumn id="12" xr3:uid="{6C1F27FD-B025-404D-AECC-8117208731D0}" name="2025" dataDxfId="212" totalsRowDxfId="211"/>
    <tableColumn id="13" xr3:uid="{5819D8D8-5DEF-4A5E-AAFB-48F4FB0FEB23}" name="% change March 2015 to March 2025" dataDxfId="210" totalsRowDxfId="209"/>
    <tableColumn id="15" xr3:uid="{668EF613-CF81-44D0-B4E1-90D8F2296310}" name="% change March 2024 to March 2025" dataDxfId="208" totalsRowDxfId="207"/>
  </tableColumns>
  <tableStyleInfo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3B0DCB39-F5E1-4692-961F-212054350C9E}" name="AvgMonthlyPop_LatestYearRatebyRegion" displayName="AvgMonthlyPop_LatestYearRatebyRegion" ref="A31:B42" totalsRowShown="0" headerRowDxfId="206" dataDxfId="204" headerRowBorderDxfId="205" tableBorderDxfId="203">
  <tableColumns count="2">
    <tableColumn id="1" xr3:uid="{588932F6-D3AE-4742-843B-2B7B5E04BC52}" name="Region" dataDxfId="202"/>
    <tableColumn id="2" xr3:uid="{9FFFA2A7-1F8C-4011-85FE-7B99BE27D27A}" name="Year ending_x000a_March 2025" dataDxfId="201"/>
  </tableColumns>
  <tableStyleInfo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520DB600-3073-48AA-89D8-F6378DCD1E63}" name="AvgMonthlyPop_YearlybyEthnicity_Region" displayName="AvgMonthlyPop_YearlybyEthnicity_Region" ref="A3:M59" totalsRowShown="0" headerRowDxfId="200" dataDxfId="198" headerRowBorderDxfId="199" tableBorderDxfId="197">
  <autoFilter ref="A3:M59" xr:uid="{9478D7CA-7B85-4E08-8519-BC324A2D5EBA}">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13" xr3:uid="{88848F30-7043-41D0-AE2A-B54125121586}" name="Ethnic group" dataDxfId="196" dataCellStyle="Comma"/>
    <tableColumn id="1" xr3:uid="{B5C185EE-8A74-4B38-B4BE-F257C6CDF454}" name="Region" dataDxfId="195" dataCellStyle="Comma"/>
    <tableColumn id="2" xr3:uid="{389CC02A-B943-4866-B039-5E73AFB6163B}" name="2015" dataDxfId="194" dataCellStyle="Comma"/>
    <tableColumn id="3" xr3:uid="{A45F4F87-C24E-4613-8847-02C473D32AE0}" name="2016" dataDxfId="193" dataCellStyle="Comma"/>
    <tableColumn id="4" xr3:uid="{F36C7EC5-F572-433F-97CB-DE0FE465B161}" name="2017" dataDxfId="192" dataCellStyle="Comma"/>
    <tableColumn id="5" xr3:uid="{00E323D0-6326-4297-B44B-08B7249DB64D}" name="2018" dataDxfId="191" dataCellStyle="Comma"/>
    <tableColumn id="6" xr3:uid="{C451B4BE-47A2-450A-B010-3B24B1233C9C}" name="2019" dataDxfId="190" dataCellStyle="Comma"/>
    <tableColumn id="7" xr3:uid="{1B4A0BE1-7B3E-44BA-B619-4267E342EA4B}" name="2020" dataDxfId="189" dataCellStyle="Comma"/>
    <tableColumn id="8" xr3:uid="{865DCFE8-01D2-4AE8-ACDD-235A68744A46}" name="2021" dataDxfId="188" dataCellStyle="Comma"/>
    <tableColumn id="9" xr3:uid="{959BC15D-1354-4297-9A78-F289D1C55506}" name="2022" dataDxfId="187" dataCellStyle="Comma"/>
    <tableColumn id="10" xr3:uid="{28EAD18B-EAA9-4CDB-875D-51EA399A1758}" name="2023" dataDxfId="186" dataCellStyle="Comma"/>
    <tableColumn id="11" xr3:uid="{851FA943-9EA9-4CBC-AB76-110E71FBEA39}" name="2024" dataDxfId="185" dataCellStyle="Comma 2"/>
    <tableColumn id="12" xr3:uid="{A4BE4EDB-FBD7-4463-A556-66F7F3051EEF}" name="2025" dataDxfId="184" dataCellStyle="Comma 2"/>
  </tableColumns>
  <tableStyleInfo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EB2C5597-FBC4-42FE-8ACA-BF37A9704D1A}" name="AvgMonthlyPop_YearlybyLegalBasis_Region" displayName="AvgMonthlyPop_YearlybyLegalBasis_Region" ref="A4:M48" totalsRowShown="0" headerRowDxfId="183" dataDxfId="181" headerRowBorderDxfId="182" tableBorderDxfId="180" dataCellStyle="Comma">
  <tableColumns count="13">
    <tableColumn id="13" xr3:uid="{15E94ED9-DBF8-48D5-846A-0C51EC5D7195}" name="Legal basis" dataDxfId="179" dataCellStyle="Comma"/>
    <tableColumn id="1" xr3:uid="{210A34B9-0318-479A-A116-11687C9790BE}" name="Region" dataDxfId="178" dataCellStyle="Comma"/>
    <tableColumn id="2" xr3:uid="{25A8AEA8-0242-41E0-9BED-D8F0E9A07B99}" name="2015" dataDxfId="177" dataCellStyle="Comma"/>
    <tableColumn id="3" xr3:uid="{706E11E9-1C21-40BE-B3A9-E0DF18026CEE}" name="2016" dataDxfId="176" dataCellStyle="Comma"/>
    <tableColumn id="4" xr3:uid="{ECEABB34-F0E3-4D0A-9524-C9193A4579E7}" name="2017" dataDxfId="175" dataCellStyle="Comma"/>
    <tableColumn id="5" xr3:uid="{A83E9463-E986-40F6-BF3F-2FA0D07E3543}" name="2018" dataDxfId="174" dataCellStyle="Comma"/>
    <tableColumn id="6" xr3:uid="{94F4ACE6-DFE0-4ACC-86D6-206F8CDD6D87}" name="2019" dataDxfId="173" dataCellStyle="Comma"/>
    <tableColumn id="7" xr3:uid="{5535C863-FFFA-4571-9053-7DE64AB3EBC7}" name="2020" dataDxfId="172" dataCellStyle="Comma"/>
    <tableColumn id="8" xr3:uid="{F9165A60-8532-429E-88C1-E27427A5ABBD}" name="2021" dataDxfId="171" dataCellStyle="Comma"/>
    <tableColumn id="9" xr3:uid="{4C7899BB-A71D-456B-972C-517F95946849}" name="2022" dataDxfId="170" dataCellStyle="Comma"/>
    <tableColumn id="10" xr3:uid="{DB71294A-66C7-4A17-8E96-5D51154DC83C}" name="2023" dataDxfId="169" dataCellStyle="Comma"/>
    <tableColumn id="11" xr3:uid="{F028CEE5-93E9-44B2-9FFF-219BD2EBA2EA}" name="2024" dataDxfId="168" dataCellStyle="Comma"/>
    <tableColumn id="12" xr3:uid="{BE20A11C-AE3D-421F-9B3D-3C4CD3851CBE}" name="2025" dataDxfId="167" dataCellStyle="Comma"/>
  </tableColumns>
  <tableStyleInfo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3C6CCC94-3320-499B-B961-9E856969E8E7}" name="LegalBasisEpisodesEnding_Yearly" displayName="LegalBasisEpisodesEnding_Yearly" ref="A5:P33" totalsRowShown="0" headerRowDxfId="166" dataDxfId="165" tableBorderDxfId="164" headerRowCellStyle="Normal 3" dataCellStyle="Percent 2">
  <tableColumns count="16">
    <tableColumn id="1" xr3:uid="{7EF7482A-8E5B-45AF-9BB2-D6149ED99028}" name="Characteristic group"/>
    <tableColumn id="2" xr3:uid="{7006CE00-D58A-4059-848F-2993E1272156}" name="Characteristic"/>
    <tableColumn id="3" xr3:uid="{36B7FDB0-DE3E-49B4-B712-324E66249643}" name="Number_x000a_2019" dataDxfId="163" dataCellStyle="Normal 3"/>
    <tableColumn id="4" xr3:uid="{866DEB24-C2CF-4617-8F2F-A91DD50E389B}" name="Number_x000a_2020" dataDxfId="162" dataCellStyle="Normal 3"/>
    <tableColumn id="5" xr3:uid="{6CB8ED1A-895A-4FF5-AA8F-97437F211AC4}" name="Number_x000a_2021" dataDxfId="161" dataCellStyle="Normal 3"/>
    <tableColumn id="6" xr3:uid="{4FA2380C-E3C3-42D8-84AC-B0E68CCDC5EE}" name="Number_x000a_2022" dataDxfId="160" dataCellStyle="Normal 3"/>
    <tableColumn id="7" xr3:uid="{C94F37D4-1DEB-4C96-99B0-C7A88708DE4B}" name="Number_x000a_2023" dataDxfId="159" dataCellStyle="Normal 3"/>
    <tableColumn id="8" xr3:uid="{FA452FE3-0D54-442B-A634-F72A41A975C7}" name="Number_x000a_2024" dataDxfId="158" dataCellStyle="Normal 3"/>
    <tableColumn id="15" xr3:uid="{F5F81EB0-C8A8-B44B-AAD9-2F47CE8E7ADC}" name="Number_x000a_2025" dataDxfId="157" dataCellStyle="Normal 3"/>
    <tableColumn id="9" xr3:uid="{26325EED-ACBD-4F31-A0C8-A2C3DA27AF8E}" name="Proportion_x000a_2019"/>
    <tableColumn id="10" xr3:uid="{C52E339C-512F-4BE1-B281-839BB40B530F}" name="Proportion_x000a_2020"/>
    <tableColumn id="11" xr3:uid="{3CBBAC18-D9A5-4369-9B4A-4E0BFA18FCFE}" name="Proportion_x000a_2021" dataDxfId="156" dataCellStyle="Percent 2"/>
    <tableColumn id="12" xr3:uid="{3A25AE6E-35AF-41B3-8CA0-4B9B38D4623E}" name="Proportion_x000a_2022" dataDxfId="155" dataCellStyle="Percent 2"/>
    <tableColumn id="13" xr3:uid="{978FAA45-D270-4542-95EE-6A35D0C576AF}" name="Proportion_x000a_2023" dataDxfId="154" dataCellStyle="Percent 2"/>
    <tableColumn id="14" xr3:uid="{15621F30-965F-4D51-8D4B-5B46569DD38C}" name="Proportion_x000a_2024" dataDxfId="153" dataCellStyle="Percent 2"/>
    <tableColumn id="16" xr3:uid="{2BC9989A-671D-2840-A232-8CA966121A95}" name="Proportion_x000a_2025" dataDxfId="152" dataCellStyle="Percent 2"/>
  </tableColumns>
  <tableStyleInfo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97E69D3E-6DF6-4BC1-8A53-58C9E11A0554}" name="LegalBasisEpisodesEnding_YearlybyEthnicity_LegalBasis" displayName="LegalBasisEpisodesEnding_YearlybyEthnicity_LegalBasis" ref="A4:P12" totalsRowShown="0" headerRowDxfId="151" tableBorderDxfId="150" headerRowCellStyle="Normal 3">
  <tableColumns count="16">
    <tableColumn id="1" xr3:uid="{80F61A2B-8611-488C-893E-C49EB20B5186}" name="Ethnic group" dataDxfId="149" dataCellStyle="Normal 3"/>
    <tableColumn id="2" xr3:uid="{AE96B902-B0B7-4236-BC9D-A5D8EA97914A}" name="Legal basis" dataDxfId="148" dataCellStyle="Normal 3"/>
    <tableColumn id="3" xr3:uid="{D7F0C154-5E98-4182-9194-DBFECF8D096B}" name="Number_x000a_2019"/>
    <tableColumn id="4" xr3:uid="{F6E0D1C8-BD02-43B0-BB50-0A2B0E8B794F}" name="Number_x000a_2020"/>
    <tableColumn id="5" xr3:uid="{4B8A7E05-4DF4-45DE-BD6D-2954620DE606}" name="Number_x000a_2021"/>
    <tableColumn id="6" xr3:uid="{773BAC45-0FD0-465C-8529-DB11AD999B4F}" name="Number_x000a_2022"/>
    <tableColumn id="7" xr3:uid="{007BC648-0BF8-4989-ABE9-6D67CA02D713}" name="Number 2023"/>
    <tableColumn id="8" xr3:uid="{305FC6FF-ED66-4D20-B3BE-74A0F52B6050}" name="Number 2024"/>
    <tableColumn id="15" xr3:uid="{7E9757FA-2519-0044-9042-30FBB4DC01EF}" name="Number 2025" dataDxfId="147"/>
    <tableColumn id="9" xr3:uid="{6A9B2D90-DBA7-44D8-9420-16D5760E17A3}" name="Proportion_x000a_2019">
      <calculatedColumnFormula>C5/C$12</calculatedColumnFormula>
    </tableColumn>
    <tableColumn id="10" xr3:uid="{AE6D21E8-527C-4A4C-B8D9-094246EB8D09}" name="Proportion 2020">
      <calculatedColumnFormula>D5/D$12</calculatedColumnFormula>
    </tableColumn>
    <tableColumn id="11" xr3:uid="{EAFB99C9-685C-4F5D-A3BC-74C48C147DB2}" name="Proportion_x000a_2021">
      <calculatedColumnFormula>E5/E$12</calculatedColumnFormula>
    </tableColumn>
    <tableColumn id="12" xr3:uid="{4E49BE49-E6DB-4DB9-9198-B23B4E47427A}" name="Proportion_x000a_2022">
      <calculatedColumnFormula>F5/F$12</calculatedColumnFormula>
    </tableColumn>
    <tableColumn id="13" xr3:uid="{966C52B2-0262-49EE-982F-19F2A10AEF43}" name="Proportion 2023">
      <calculatedColumnFormula>G5/G$12</calculatedColumnFormula>
    </tableColumn>
    <tableColumn id="14" xr3:uid="{D7CB4608-D7E1-4808-9B91-CD80C44C238E}" name="Proportion 2024">
      <calculatedColumnFormula>H5/H$12</calculatedColumnFormula>
    </tableColumn>
    <tableColumn id="16" xr3:uid="{1A05734E-DD1B-9F45-BF41-BE4B8670F047}" name="Proportion 2025"/>
  </tableColumns>
  <tableStyleInfo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3ED6086-AD7C-4D80-9C4F-5D7F3DF426F6}" name="LegalBasisEpisodesEnding_YearlybyNights_All" displayName="LegalBasisEpisodesEnding_YearlybyNights_All" ref="A6:O17" totalsRowShown="0" headerRowDxfId="146" dataDxfId="144" headerRowBorderDxfId="145" headerRowCellStyle="Normal 3" dataCellStyle="Percent 2">
  <tableColumns count="15">
    <tableColumn id="1" xr3:uid="{F904B119-6F74-472C-ABAE-7B68CA1D863F}" name="Number of nights" dataDxfId="143" dataCellStyle="Normal 3"/>
    <tableColumn id="2" xr3:uid="{CA556E40-F48C-42E7-B96A-DE8F13FC7CE2}" name="Number_x000a_2019" dataDxfId="142" dataCellStyle="Comma 2"/>
    <tableColumn id="3" xr3:uid="{94D49D32-009A-4A01-8281-CA6A1DB09647}" name="Number_x000a_2020" dataDxfId="141" dataCellStyle="Comma 2"/>
    <tableColumn id="4" xr3:uid="{CC4D2B16-CDC9-4730-A2C9-7809F03C9AE4}" name="Number_x000a_2021" dataDxfId="140" dataCellStyle="Comma 2"/>
    <tableColumn id="5" xr3:uid="{5754BA84-85C1-4477-919F-44C41E1CECC4}" name="Number_x000a_2022" dataDxfId="139" dataCellStyle="Comma 2"/>
    <tableColumn id="6" xr3:uid="{FB20384E-D058-4F0D-9482-2FE6107FA6DC}" name="Number 2023" dataDxfId="138" dataCellStyle="Comma 2"/>
    <tableColumn id="7" xr3:uid="{56CE93CE-2131-408C-B81B-3947790E864B}" name="Number 2024" dataDxfId="137" dataCellStyle="Comma 2"/>
    <tableColumn id="14" xr3:uid="{FB0393FF-2CEA-6341-87C9-DD4749730108}" name="Number 2025" dataDxfId="136" dataCellStyle="Comma 2"/>
    <tableColumn id="8" xr3:uid="{8C90A27D-A184-45D0-91D3-D8D81D6A12EC}" name="Proportion_x000a_2019" dataDxfId="135" dataCellStyle="Percent 2"/>
    <tableColumn id="9" xr3:uid="{44CF4FE3-0CA2-454A-8AB5-ECEA65A7596B}" name="Proportion 2020" dataDxfId="134" dataCellStyle="Percent 2"/>
    <tableColumn id="10" xr3:uid="{A02A797A-DF2C-4FA9-BB71-5ED8F69A953F}" name="Proportion_x000a_2021" dataDxfId="133" dataCellStyle="Percent 2"/>
    <tableColumn id="11" xr3:uid="{329C123C-1AAA-4FA1-909B-ACBB6E7D7EEF}" name="Proportion_x000a_2022" dataDxfId="132" dataCellStyle="Percent 2"/>
    <tableColumn id="12" xr3:uid="{B03D9FB2-D8BC-45B9-AD77-F5A5D71B76D4}" name="Proportion 2023" dataDxfId="131" dataCellStyle="Percent 2"/>
    <tableColumn id="13" xr3:uid="{AB39F45B-EF88-4442-9255-37D31395B1CD}" name="Proportion 2024" dataDxfId="130" dataCellStyle="Percent 2"/>
    <tableColumn id="15" xr3:uid="{8C85021E-3CC6-4A4E-B7C7-A9395105E0E0}" name="Proportion 2025" dataDxfId="129" dataCellStyle="Percent 2"/>
  </tableColumns>
  <tableStyleInfo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87C88591-3463-4EC4-8DD3-739067003E79}" name="LegalBasisEpisodesEnding_YearlybyNights_Lessthan91" displayName="LegalBasisEpisodesEnding_YearlybyNights_Lessthan91" ref="A20:O34" totalsRowShown="0" headerRowDxfId="128" dataDxfId="126" headerRowBorderDxfId="127" tableBorderDxfId="125" headerRowCellStyle="Normal 3" dataCellStyle="Percent 2">
  <tableColumns count="15">
    <tableColumn id="1" xr3:uid="{111E0EBF-58A6-4681-9EE2-E45A00DE50C0}" name="Number of nights" dataDxfId="124" dataCellStyle="Normal 3"/>
    <tableColumn id="2" xr3:uid="{9EF79AB0-A14D-43C6-92C4-6AB47F406E1B}" name="Number_x000a_2019" dataDxfId="123" dataCellStyle="Comma 2"/>
    <tableColumn id="3" xr3:uid="{5D303B4F-9603-4F2C-AB47-9BAC0091A22D}" name="Number_x000a_2020" dataDxfId="122" dataCellStyle="Comma 2"/>
    <tableColumn id="4" xr3:uid="{A612A920-A50A-429F-99A4-5F50C65E1A18}" name="Number_x000a_2021" dataDxfId="121" dataCellStyle="Comma 2"/>
    <tableColumn id="5" xr3:uid="{59CC7B16-5214-4DD9-BF47-7C0DD564846C}" name="Number_x000a_2022" dataDxfId="120" dataCellStyle="Comma 2"/>
    <tableColumn id="6" xr3:uid="{56D0D911-C3B4-4621-B4CE-DA7710AD440A}" name="Number 2023" dataDxfId="119" dataCellStyle="Comma 2"/>
    <tableColumn id="7" xr3:uid="{29E54086-4210-4F6D-852B-DA7E34A2FE1C}" name="Number 2024" dataDxfId="118" dataCellStyle="Comma 2"/>
    <tableColumn id="14" xr3:uid="{82895A21-E79A-5C4A-88E0-C300F643E3E6}" name="Number 2025" dataDxfId="117" dataCellStyle="Comma 2"/>
    <tableColumn id="8" xr3:uid="{9A97A6AF-3D19-4E2C-B6B8-07F1BE70029C}" name="Proportion_x000a_2019" dataDxfId="116" dataCellStyle="Percent 2">
      <calculatedColumnFormula>B21/B$34</calculatedColumnFormula>
    </tableColumn>
    <tableColumn id="9" xr3:uid="{6F3A84BE-6168-439F-9DCC-E932F86B9F9B}" name="Proportion 2020" dataDxfId="115" dataCellStyle="Percent 2">
      <calculatedColumnFormula>C21/C$34</calculatedColumnFormula>
    </tableColumn>
    <tableColumn id="10" xr3:uid="{88BE2A29-B2A3-400F-B5FB-3312E7BCB4F6}" name="Proportion_x000a_2021" dataDxfId="114" dataCellStyle="Percent 2">
      <calculatedColumnFormula>D21/D$34</calculatedColumnFormula>
    </tableColumn>
    <tableColumn id="11" xr3:uid="{65A55A13-073D-49F7-B2F4-1D248E15A61C}" name="Proportion_x000a_2022" dataDxfId="113" dataCellStyle="Percent 2">
      <calculatedColumnFormula>E21/E$34</calculatedColumnFormula>
    </tableColumn>
    <tableColumn id="12" xr3:uid="{CEF337C6-745E-451D-9B68-D62D44C542B3}" name="Proportion 2023" dataDxfId="112" dataCellStyle="Percent 2">
      <calculatedColumnFormula>F21/F$34</calculatedColumnFormula>
    </tableColumn>
    <tableColumn id="13" xr3:uid="{5CECDDAA-CF87-4296-AF41-B87F4B3BB669}" name="Proportion 2024" dataDxfId="111" dataCellStyle="Percent 2">
      <calculatedColumnFormula>G21/G$34</calculatedColumnFormula>
    </tableColumn>
    <tableColumn id="15" xr3:uid="{D97571FF-539D-DB42-B39B-B390E946DDB6}" name="Proportion 2025" dataDxfId="110" dataCellStyle="Percent 2">
      <calculatedColumnFormula>H21/H$34</calculatedColumnFormula>
    </tableColumn>
  </tableColumns>
  <tableStyleInfo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22D0A3DB-549B-4294-AE1C-589002E12F14}" name="LegalBasisEpisodesEnding_YearlybyEthnicity_NightsAll" displayName="LegalBasisEpisodesEnding_YearlybyEthnicity_NightsAll" ref="A6:P28" totalsRowShown="0" headerRowDxfId="109" dataDxfId="107" headerRowBorderDxfId="108" headerRowCellStyle="Normal 3" dataCellStyle="Percent 2">
  <tableColumns count="16">
    <tableColumn id="1" xr3:uid="{0DC04270-3961-42F6-9D02-EB5182DDF8BF}" name="Ethnic group" dataDxfId="106" dataCellStyle="Normal 3"/>
    <tableColumn id="2" xr3:uid="{DF6EC8F1-6042-45DC-BE4E-B62F3E1C6BF4}" name="Number of nights" dataDxfId="105" dataCellStyle="Normal 3"/>
    <tableColumn id="3" xr3:uid="{96B57167-C53D-44AE-8BA8-5720A87DEB1A}" name="Number_x000a_2019" dataDxfId="104" dataCellStyle="Comma 2 2"/>
    <tableColumn id="4" xr3:uid="{1BE2D662-23DE-4D84-8BC1-B552452FB716}" name="Number_x000a_2020" dataDxfId="103" dataCellStyle="Comma 2 2"/>
    <tableColumn id="5" xr3:uid="{CC620254-C2A4-4540-9C3D-795D63C3A866}" name="Number_x000a_2021" dataDxfId="102" dataCellStyle="Comma 2 2"/>
    <tableColumn id="6" xr3:uid="{7B8D6F9A-36D3-4DC3-AC15-33B6B329AC79}" name="Number_x000a_2022" dataDxfId="101" dataCellStyle="Comma 2 2"/>
    <tableColumn id="7" xr3:uid="{5A4B6664-B9DA-46EE-8BA2-6BBFF1D5298F}" name="Number 2023" dataDxfId="100" dataCellStyle="Comma 2 2"/>
    <tableColumn id="8" xr3:uid="{DB356F35-C9D0-4287-A3C3-933B162434B5}" name="Number 2024" dataDxfId="99" dataCellStyle="Comma 2 2"/>
    <tableColumn id="15" xr3:uid="{D049BF15-84FA-9D46-A64B-93CEDB423E29}" name="Number 2025" dataDxfId="98" dataCellStyle="Comma 2 2"/>
    <tableColumn id="9" xr3:uid="{10B84DDB-DD45-4544-9204-709FF9C12EF9}" name="Proportion_x000a_2019" dataDxfId="97" dataCellStyle="Percent 2"/>
    <tableColumn id="10" xr3:uid="{A431D9EB-497A-494A-BB94-CD41F1315AD9}" name="Proportion 2020" dataDxfId="96" dataCellStyle="Percent 2"/>
    <tableColumn id="11" xr3:uid="{15BC7081-7E65-4906-8FD3-D36D726091D9}" name="Proportion_x000a_2021" dataDxfId="95" dataCellStyle="Percent 2"/>
    <tableColumn id="12" xr3:uid="{F18DBF75-A602-4F3B-AA3B-E547154DC128}" name="Proportion_x000a_2022" dataDxfId="94" dataCellStyle="Percent 2"/>
    <tableColumn id="13" xr3:uid="{99DA1F94-5910-4477-B586-9171A466FB5B}" name="Proportion 2023" dataDxfId="93" dataCellStyle="Percent 2"/>
    <tableColumn id="14" xr3:uid="{ED68F44B-038B-4FD9-A29E-1BF2B017BED0}" name="Proportion 2024" dataDxfId="92" dataCellStyle="Percent 2"/>
    <tableColumn id="16" xr3:uid="{309C6C42-7258-644E-8B20-8AF4EF8F1251}" name="Proportion 2025" dataDxfId="91" dataCellStyle="Percent 2"/>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F98FC5E1-D4B2-44A9-BFFE-14C11D832614}" name="AvgMonthlyPop_YearlyTrend" displayName="AvgMonthlyPop_YearlyTrend" ref="A4:O10" totalsRowShown="0" headerRowDxfId="403" headerRowBorderDxfId="402" tableBorderDxfId="401">
  <tableColumns count="15">
    <tableColumn id="1" xr3:uid="{9CE4BAEA-70E6-4EEC-BC60-B6C3F91736C5}" name="Number or proportion" dataDxfId="400"/>
    <tableColumn id="2" xr3:uid="{B642247B-9FFE-409B-981F-D8441BC3D77F}" name="Custody population" dataDxfId="399"/>
    <tableColumn id="3" xr3:uid="{0FB7517C-DBF9-4D26-A6B0-05CD9CC20B52}" name="2015" dataDxfId="398"/>
    <tableColumn id="4" xr3:uid="{530E89CF-228A-4419-92B8-6C5761111AB6}" name="2016" dataDxfId="397"/>
    <tableColumn id="5" xr3:uid="{83A76E59-0378-47E1-801E-4BF7C5508086}" name="2017" dataDxfId="396"/>
    <tableColumn id="6" xr3:uid="{A0623EC3-F5A7-42D0-A81B-0338D0E4F78C}" name="2018" dataDxfId="395"/>
    <tableColumn id="7" xr3:uid="{64D606B6-010B-4CDC-819E-6C2FA18CBEBA}" name="2019" dataDxfId="394"/>
    <tableColumn id="8" xr3:uid="{AD015E39-FF5E-492B-866E-5415E01579E2}" name="2020" dataDxfId="393"/>
    <tableColumn id="9" xr3:uid="{3ACEACB4-F4E0-4861-A69A-9936D773D60D}" name="2021" dataDxfId="392"/>
    <tableColumn id="10" xr3:uid="{3C6AA5B4-4AB1-4688-99D6-96C17DE381F4}" name="2022" dataDxfId="391"/>
    <tableColumn id="11" xr3:uid="{245A104C-253B-4820-A7B3-B3CD932E7FF8}" name="2023" dataDxfId="390"/>
    <tableColumn id="12" xr3:uid="{B640998A-7B3C-4B60-9CFF-EED44C5DC23E}" name="2024" dataDxfId="389"/>
    <tableColumn id="13" xr3:uid="{CB8E43C6-73B2-4D3F-9EC9-384147549715}" name="2025" dataDxfId="388"/>
    <tableColumn id="14" xr3:uid="{BE3E8ABC-9373-4090-A366-5FB0B28E5C77}" name="% change March 2015 to March 2025" dataDxfId="387"/>
    <tableColumn id="16" xr3:uid="{143E306B-F15E-43B5-B86F-1325AD4603C7}" name="% change March 2024 to March 2025" dataDxfId="386"/>
  </tableColumns>
  <tableStyleInfo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7A4323D9-1919-4E67-B70D-9CF7FCD3AEF2}" name="LegalBasisEpisodesEnding_YearlybyEthnicity_NightsLessThan91" displayName="LegalBasisEpisodesEnding_YearlybyEthnicity_NightsLessThan91" ref="A31:P59" totalsRowShown="0" headerRowDxfId="90" dataDxfId="88" headerRowBorderDxfId="89" tableBorderDxfId="87" headerRowCellStyle="Normal 3" dataCellStyle="Percent 2">
  <tableColumns count="16">
    <tableColumn id="1" xr3:uid="{49A457E8-7BD9-4FA1-992C-C6EB526A6675}" name="Ethnic group" dataDxfId="86" dataCellStyle="Percent 2"/>
    <tableColumn id="2" xr3:uid="{9165C273-31C1-4DA5-BDF2-288A9D578D4A}" name="Number of nights" dataDxfId="85" dataCellStyle="Normal 3"/>
    <tableColumn id="3" xr3:uid="{37F3B24B-D566-4418-9B5C-766A77D8B660}" name="Number_x000a_2019" dataDxfId="84" dataCellStyle="Comma 2"/>
    <tableColumn id="4" xr3:uid="{1883D469-2B09-4BE2-86B3-75A70CF4AB0F}" name="Number_x000a_2020" dataDxfId="83" dataCellStyle="Comma 2"/>
    <tableColumn id="5" xr3:uid="{5F143419-D16D-46DA-AF45-08BA4DB05105}" name="Number_x000a_2021" dataDxfId="82" dataCellStyle="Comma 2"/>
    <tableColumn id="6" xr3:uid="{F5568B92-7398-47E6-A143-8BEC1E9C393B}" name="Number_x000a_2022" dataDxfId="81" dataCellStyle="Comma 2"/>
    <tableColumn id="7" xr3:uid="{35B8B85E-D9D9-44B1-879B-83F7262CDA24}" name="Number 2023" dataDxfId="80" dataCellStyle="Comma 2"/>
    <tableColumn id="8" xr3:uid="{82266DD1-635B-42C6-841F-5A3E6244CD4D}" name="Number 2024" dataDxfId="79" dataCellStyle="Comma 2"/>
    <tableColumn id="15" xr3:uid="{2AAF67F3-BB3A-394B-8A47-C0672E7548E0}" name="Number 2025" dataDxfId="78" dataCellStyle="Comma 2"/>
    <tableColumn id="9" xr3:uid="{CFD759D4-A466-4444-BF32-BB98A67BB9FD}" name="Proportion_x000a_2019" dataDxfId="77" dataCellStyle="Percent 2">
      <calculatedColumnFormula>C32/C$59</calculatedColumnFormula>
    </tableColumn>
    <tableColumn id="10" xr3:uid="{87135C6B-9DD1-4393-B8F2-431ADEF64EC3}" name="Proportion 2020" dataDxfId="76" dataCellStyle="Percent 2">
      <calculatedColumnFormula>D32/D$59</calculatedColumnFormula>
    </tableColumn>
    <tableColumn id="11" xr3:uid="{B13E5938-1FEB-4B2A-901D-AFB667E5D134}" name="Proportion_x000a_2021" dataDxfId="75" dataCellStyle="Percent 2">
      <calculatedColumnFormula>E32/E$59</calculatedColumnFormula>
    </tableColumn>
    <tableColumn id="12" xr3:uid="{E0260879-E973-4974-98C2-4753813E3E6C}" name="Proportion_x000a_2022" dataDxfId="74" dataCellStyle="Percent 2">
      <calculatedColumnFormula>F32/F$59</calculatedColumnFormula>
    </tableColumn>
    <tableColumn id="13" xr3:uid="{90148C94-6FDF-44E6-862E-93EFBE2C46D1}" name="Proportion 2023" dataDxfId="73" dataCellStyle="Percent 2">
      <calculatedColumnFormula>G32/G$59</calculatedColumnFormula>
    </tableColumn>
    <tableColumn id="14" xr3:uid="{1B565C0D-E4D4-47AA-BE70-2ADD9F473129}" name="Proportion 2024" dataDxfId="72" dataCellStyle="Percent 2">
      <calculatedColumnFormula>H32/H$59</calculatedColumnFormula>
    </tableColumn>
    <tableColumn id="16" xr3:uid="{5E3F7520-3765-744C-9F26-072A94F8CEAF}" name="Proportion 2025" dataDxfId="71" dataCellStyle="Percent 2"/>
  </tableColumns>
  <tableStyleInfo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 xr:uid="{921596A9-D935-4F1C-B3B1-ED95D8BDBCF5}" name="LegalBasisEpisodesEnding_YearlybyLegalBasis_Nights" displayName="LegalBasisEpisodesEnding_YearlybyLegalBasis_Nights" ref="A5:P23" totalsRowShown="0" headerRowDxfId="70" dataDxfId="68" headerRowBorderDxfId="69" headerRowCellStyle="Normal 3" dataCellStyle="Percent 2">
  <tableColumns count="16">
    <tableColumn id="1" xr3:uid="{237A4FAF-763C-4A79-85AE-FE1264DAF0E7}" name="Legal basis" dataDxfId="67" dataCellStyle="Normal 3"/>
    <tableColumn id="2" xr3:uid="{A324B6C8-D8C4-438C-86FF-E11C1C54BD58}" name="Number of nights" dataDxfId="66" dataCellStyle="Normal 3"/>
    <tableColumn id="3" xr3:uid="{043B0F5E-DD78-4690-921E-DF59E4A24DF9}" name="Number_x000a_2019" dataDxfId="65" dataCellStyle="Comma 2"/>
    <tableColumn id="4" xr3:uid="{60286309-8772-46B7-8BC6-EDEACB14177A}" name="Number_x000a_2020" dataDxfId="64" dataCellStyle="Comma 2"/>
    <tableColumn id="5" xr3:uid="{F3ADE024-C06D-42B3-8080-F312D06B1DEB}" name="Number_x000a_2021" dataDxfId="63" dataCellStyle="Comma 2"/>
    <tableColumn id="6" xr3:uid="{C7453896-76FF-40C9-A13C-A086574AFE3A}" name="Number_x000a_2022" dataDxfId="62" dataCellStyle="Comma 2"/>
    <tableColumn id="7" xr3:uid="{C9F5EF7E-3D37-4C95-B007-ECB3416854D6}" name="Number_x000a_2023" dataDxfId="61" dataCellStyle="Comma 2"/>
    <tableColumn id="8" xr3:uid="{1A3BF52A-EC24-4B23-88C7-A7D58686BAEF}" name="Number_x000a_2024" dataDxfId="60" dataCellStyle="Comma 2"/>
    <tableColumn id="15" xr3:uid="{20079316-149D-0142-8A69-82FF15E507AE}" name="Number_x000a_2025" dataDxfId="59" dataCellStyle="Comma 2"/>
    <tableColumn id="9" xr3:uid="{CEC5D38C-F10D-48A8-9F40-9BF41B329944}" name="Proportion_x000a_2019" dataDxfId="58" dataCellStyle="Percent 2"/>
    <tableColumn id="10" xr3:uid="{EEB22088-06AB-4E8E-8387-E8AE3746CD41}" name="Proportion 2020" dataDxfId="57" dataCellStyle="Percent 2"/>
    <tableColumn id="11" xr3:uid="{B3AB2769-B325-4BD1-B8C7-CE4B96D79AD9}" name="Proportion_x000a_2021" dataDxfId="56" dataCellStyle="Percent 2"/>
    <tableColumn id="12" xr3:uid="{7A0943E1-B05C-4655-8386-D3664C24C845}" name="Proportion_x000a_2022" dataDxfId="55" dataCellStyle="Percent 2"/>
    <tableColumn id="13" xr3:uid="{BB4F897D-521F-415D-8700-456B8A79D47E}" name="Proportion 2023" dataDxfId="54" dataCellStyle="Percent 2"/>
    <tableColumn id="14" xr3:uid="{5CD7ED3B-B9A8-4B07-8A1F-5879952ACF94}" name="Proportion 2024" dataDxfId="53" dataCellStyle="Percent 2"/>
    <tableColumn id="16" xr3:uid="{F6ABB264-713E-BE4E-9486-9D3BA928F80B}" name="Proportion 2025" dataDxfId="52" dataCellStyle="Percent 2"/>
  </tableColumns>
  <tableStyleInfo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 xr:uid="{B0865E7E-5936-4436-A5AA-6F2E32A4EFB8}" name="LegalBasisEpisodesEnding_YearlybyEthnicity_LegalBasis_Nights" displayName="LegalBasisEpisodesEnding_YearlybyEthnicity_LegalBasis_Nights" ref="A5:P45" totalsRowShown="0" headerRowDxfId="51" dataDxfId="49" headerRowBorderDxfId="50" tableBorderDxfId="48" headerRowCellStyle="Normal 3" dataCellStyle="Percent 2">
  <tableColumns count="16">
    <tableColumn id="1" xr3:uid="{25BF3976-5F37-418B-98D7-20ACE0BC7162}" name="Ethnic group and Legal basis"/>
    <tableColumn id="2" xr3:uid="{68376DF4-DF9E-4AF5-ABDE-E40406E22E98}" name="Number of nights" dataDxfId="47" dataCellStyle="Normal 3"/>
    <tableColumn id="3" xr3:uid="{02D111E1-FE82-4427-8AD0-F1E1199B4849}" name="Number_x000a_2019" dataDxfId="46" dataCellStyle="Normal 3"/>
    <tableColumn id="4" xr3:uid="{211D7AA5-CE47-4D63-ACD6-D7D3C4F6519B}" name="Number_x000a_2020" dataDxfId="45" dataCellStyle="Normal 3"/>
    <tableColumn id="5" xr3:uid="{9CE82E15-C65C-4D6B-954E-FB33C79B3E8E}" name="Number_x000a_2021" dataDxfId="44" dataCellStyle="Normal 3"/>
    <tableColumn id="6" xr3:uid="{120DEFFE-7D4B-41BF-8254-E9E7F5DBE42A}" name="Number_x000a_2022" dataDxfId="43" dataCellStyle="Normal 3"/>
    <tableColumn id="7" xr3:uid="{C4E297A5-97D5-430F-AD9A-FB313D45B31A}" name="Number_x000a_2023" dataDxfId="42" dataCellStyle="Normal 3"/>
    <tableColumn id="8" xr3:uid="{0745ED95-5BBA-4E51-9A20-E7AD584E181B}" name="Number_x000a_2024" dataDxfId="41" dataCellStyle="Normal 3"/>
    <tableColumn id="15" xr3:uid="{EDE93A89-888A-1D45-9D63-9F77123D4E77}" name="Number_x000a_2025" dataDxfId="40" dataCellStyle="Normal 3"/>
    <tableColumn id="9" xr3:uid="{DE40BC35-8B17-4E97-9E08-12CAFF6C5E2C}" name="Proportion_x000a_2019" dataDxfId="39" dataCellStyle="Percent 2"/>
    <tableColumn id="10" xr3:uid="{02017A27-6A89-453E-AD27-4E027CE360F0}" name="Proportion 2020" dataDxfId="38" dataCellStyle="Percent 2"/>
    <tableColumn id="11" xr3:uid="{E2A7A2FD-4E64-47B9-B1D9-432E6EAE4EF8}" name="Proportion_x000a_2021" dataDxfId="37" dataCellStyle="Percent 2"/>
    <tableColumn id="12" xr3:uid="{59253DFB-435E-477B-A556-B20FA9DB055D}" name="Proportion_x000a_2022" dataDxfId="36" dataCellStyle="Percent 2"/>
    <tableColumn id="13" xr3:uid="{93F20F4F-0F45-48B2-BC58-A0DFD6B0FA6F}" name="Proportion 2023" dataDxfId="35" dataCellStyle="Percent 2"/>
    <tableColumn id="14" xr3:uid="{313842A6-115E-45DE-B737-6A9C737E2CA6}" name="Proportion 2024" dataDxfId="34" dataCellStyle="Percent 2"/>
    <tableColumn id="16" xr3:uid="{747B8EF0-F027-2347-AD48-E21FD8FD8C5B}" name="Proportion 2025" dataDxfId="33" dataCellStyle="Percent 2"/>
  </tableColumns>
  <tableStyleInfo showFirstColumn="0" showLastColumn="0" showRowStripes="1" showColumnStripes="0"/>
</table>
</file>

<file path=xl/tables/table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8" xr:uid="{B0E38DAA-E9E6-4846-8B7D-F4DC7334625B}" name="LegalBasisEpisodesEnding_YearlybyLegalBasisEnd_Nights" displayName="LegalBasisEpisodesEnding_YearlybyLegalBasisEnd_Nights" ref="A4:P22" totalsRowShown="0" headerRowDxfId="32" dataDxfId="30" headerRowBorderDxfId="31" tableBorderDxfId="29" headerRowCellStyle="Normal 3" dataCellStyle="Percent 2">
  <tableColumns count="16">
    <tableColumn id="1" xr3:uid="{5DB3DA8F-E1B6-43AC-90B9-77A4870F5872}" name="Legal basis end type" dataDxfId="28" dataCellStyle="Normal 3"/>
    <tableColumn id="2" xr3:uid="{45E96CAC-8A7B-45A5-89F2-283151D40167}" name="Number of nights" dataDxfId="27" dataCellStyle="Normal 3"/>
    <tableColumn id="3" xr3:uid="{5A191590-D4A4-4ED0-ADD9-F72ABA70063D}" name="Number_x000a_2019" dataDxfId="26" dataCellStyle="Comma 2"/>
    <tableColumn id="4" xr3:uid="{E2178D94-43A2-4B42-97B1-77228E8B5144}" name="Number_x000a_2020" dataDxfId="25" dataCellStyle="Comma 2"/>
    <tableColumn id="5" xr3:uid="{DBBED763-0363-415B-9A61-945B56BDAD80}" name="Number_x000a_2021" dataDxfId="24" dataCellStyle="Comma 2"/>
    <tableColumn id="6" xr3:uid="{74CF3760-8803-42D4-A91B-1B6C12D3B12B}" name="Number_x000a_2022" dataDxfId="23" dataCellStyle="Comma 2"/>
    <tableColumn id="7" xr3:uid="{A72072EA-63CA-4418-8039-3BC6EB8B85D8}" name="Number_x000a_2023" dataDxfId="22" dataCellStyle="Comma 2"/>
    <tableColumn id="8" xr3:uid="{379B6BBC-F3FB-4F0D-A933-11AD81547E87}" name="Number_x000a_2024" dataDxfId="21" dataCellStyle="Comma 2"/>
    <tableColumn id="15" xr3:uid="{140FD385-BAE4-054F-A816-31287DB417E0}" name="Number_x000a_2025" dataDxfId="20" dataCellStyle="Comma 2"/>
    <tableColumn id="9" xr3:uid="{CC1DED7A-4A35-4D0B-845F-ADBB88C06988}" name="Proportion_x000a_2019" dataDxfId="19" dataCellStyle="Percent 2"/>
    <tableColumn id="10" xr3:uid="{08F2CBBE-A1CE-4E2E-9CAF-0DB48F57A227}" name="Proportion 2020" dataDxfId="18" dataCellStyle="Percent 2"/>
    <tableColumn id="11" xr3:uid="{721CD4DD-742D-4B35-A7E2-510D5286204E}" name="Proportion_x000a_2021" dataDxfId="17" dataCellStyle="Percent 2"/>
    <tableColumn id="12" xr3:uid="{4C8BFFFB-624A-49B0-9506-7B6DD88EE337}" name="Proportion_x000a_2022" dataDxfId="16" dataCellStyle="Percent 2"/>
    <tableColumn id="13" xr3:uid="{D9D638CF-D5A1-42AB-859D-B4D978641A84}" name="Proportion_x000a_2023" dataDxfId="15" dataCellStyle="Percent 2"/>
    <tableColumn id="14" xr3:uid="{90E3E461-E606-4255-B354-7C35E58282D4}" name="Proportion_x000a_2024" dataDxfId="14" dataCellStyle="Percent 2"/>
    <tableColumn id="16" xr3:uid="{9CDFC091-C9A8-BF4C-91C1-A40F9FF0FAD9}" name="Proportion_x000a_2025" dataDxfId="13" dataCellStyle="Percent 2"/>
  </tableColumns>
  <tableStyleInfo showFirstColumn="0" showLastColumn="0" showRowStripes="1" showColumnStripes="0"/>
</table>
</file>

<file path=xl/tables/table2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F9348F8-BEC3-4163-A56D-D7C6347A1955}" name="BM_ChildrenYoungPeople_Incidents" displayName="BM_ChildrenYoungPeople_Incidents" ref="A6:I29" totalsRowShown="0" headerRowDxfId="12" dataDxfId="10" headerRowBorderDxfId="11" tableBorderDxfId="9">
  <tableColumns count="9">
    <tableColumn id="1" xr3:uid="{9A3CDBF0-5E0F-4917-96EA-D58D947838A1}" name="Incident type" dataDxfId="8"/>
    <tableColumn id="2" xr3:uid="{F151CAF0-120D-4B8D-AE99-D7D02D551EDC}" name="Year ending March" dataDxfId="7"/>
    <tableColumn id="3" xr3:uid="{4EA28E34-0077-4063-AC34-2E107CD330B5}" name="Children and young adults average population [note 17]" dataDxfId="6"/>
    <tableColumn id="9" xr3:uid="{171D07EC-6C19-43B1-B4F0-B75652341B65}" name="Number of incidents in year" dataDxfId="5"/>
    <tableColumn id="5" xr3:uid="{7CF3DA03-B822-4E35-9665-5A136A4181F0}" name="Number of unique children and young adults involved per year [assaults as assailants] [note 18]" dataDxfId="4"/>
    <tableColumn id="6" xr3:uid="{BC60A4A3-4034-47AE-BD75-276D5764F3EE}" name="Number of unique children and young adults involved per year [assaults as victims][note 18]" dataDxfId="3"/>
    <tableColumn id="7" xr3:uid="{2102A15B-58EB-496E-862C-024F30B6DA12}" name="Number of incidents per 100 children and young adults in custody in year" dataDxfId="2">
      <calculatedColumnFormula>100*BM_ChildrenYoungPeople_Incidents[[#This Row],[Number of incidents in year]]/C7</calculatedColumnFormula>
    </tableColumn>
    <tableColumn id="8" xr3:uid="{0C906BE3-DD05-4B9E-8143-B711571A999E}" name="Number of incidents per child or young adult involved per year [assaults as assailants] [note 18]" dataDxfId="1">
      <calculatedColumnFormula>BM_ChildrenYoungPeople_Incidents[[#This Row],[Number of incidents in year]]/BM_ChildrenYoungPeople_Incidents[[#This Row],[Number of unique children and young adults involved per year '[assaults as assailants'] '[note 18']]]</calculatedColumnFormula>
    </tableColumn>
    <tableColumn id="4" xr3:uid="{F764D5B2-B4CB-425D-9442-8F1DE46BD918}" name="Number of incidents per child or young adult involved per year [assaults as victims] [note 18]" dataDxfId="0">
      <calculatedColumnFormula>BM_ChildrenYoungPeople_Incidents[[#This Row],[Number of incidents in year]]/BM_ChildrenYoungPeople_Incidents[[#This Row],[Number of unique children and young adults involved per year '[assaults as victims']'[note 18']]]</calculatedColumnFormula>
    </tableColumn>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A1A6AE11-BF9A-4AA8-BB94-D4B700C6C693}" name="AvgMonthlyPop_MonthlyTrends" displayName="AvgMonthlyPop_MonthlyTrends" ref="A3:N28" totalsRowShown="0" headerRowDxfId="385" dataDxfId="383" headerRowBorderDxfId="384" tableBorderDxfId="382" dataCellStyle="Comma">
  <tableColumns count="14">
    <tableColumn id="1" xr3:uid="{87595E4D-C94C-4665-BEDE-D6DE90A238CA}" name="Financial Year" dataDxfId="381"/>
    <tableColumn id="2" xr3:uid="{0FAF1583-2E62-4417-9077-74419A7B27ED}" name="Apr" dataDxfId="380" dataCellStyle="Comma"/>
    <tableColumn id="3" xr3:uid="{7C1D0212-91CD-4D39-A375-AEBF80CBA63A}" name="May" dataDxfId="379" dataCellStyle="Comma"/>
    <tableColumn id="4" xr3:uid="{0514FBE8-52C3-4718-AA5E-497B9FBE7B22}" name="Jun" dataDxfId="378" dataCellStyle="Comma"/>
    <tableColumn id="5" xr3:uid="{3D24E048-249C-4BC1-AAA7-D9502CB83B52}" name="Jul" dataDxfId="377" dataCellStyle="Comma"/>
    <tableColumn id="6" xr3:uid="{D7E5400F-88DC-4493-B0E8-F4D6F92B7C32}" name="Aug" dataDxfId="376" dataCellStyle="Comma"/>
    <tableColumn id="7" xr3:uid="{8B31966D-01C8-4313-AB6E-C83378F57A6C}" name="Sep" dataDxfId="375" dataCellStyle="Comma"/>
    <tableColumn id="8" xr3:uid="{2CCD4F20-593F-4FC3-A84F-CDCF71FDA7D8}" name="Oct" dataDxfId="374" dataCellStyle="Comma"/>
    <tableColumn id="9" xr3:uid="{32DDBF95-E0A4-4CC2-9F45-263C9E898FF8}" name="Nov" dataDxfId="373" dataCellStyle="Comma"/>
    <tableColumn id="10" xr3:uid="{47DDDF9B-7036-4D5B-B6EC-9CAE2A954BCF}" name="Dec" dataDxfId="372" dataCellStyle="Comma"/>
    <tableColumn id="11" xr3:uid="{8FC070A4-B3A7-4F0B-8896-2AFB18C18B71}" name="Jan" dataDxfId="371" dataCellStyle="Comma"/>
    <tableColumn id="12" xr3:uid="{B91C1855-4D1A-4A2F-B174-EAD2AED25CA2}" name="Feb" dataDxfId="370" dataCellStyle="Comma"/>
    <tableColumn id="13" xr3:uid="{BD640655-A695-4917-B6E6-874CAD864B68}" name="Mar" dataDxfId="369" dataCellStyle="Comma"/>
    <tableColumn id="14" xr3:uid="{69291268-4C83-4970-930C-5C75FD6F8DC8}" name="Average monthly population" dataDxfId="368" dataCellStyle="Comma">
      <calculatedColumnFormula>AVERAGE(B4:M4)</calculatedColumnFormula>
    </tableColumn>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27B00A40-39F0-489E-BCE2-A6B2EA5EAA0B}" name="AvgMonthlyPop_YearlybySector" displayName="AvgMonthlyPop_YearlybySector" ref="A5:O13" totalsRowShown="0" headerRowDxfId="367" dataDxfId="365" headerRowBorderDxfId="366" tableBorderDxfId="364">
  <tableColumns count="15">
    <tableColumn id="16" xr3:uid="{B988E614-1532-4571-B861-1D2B87D29610}" name="Number or proportion" dataDxfId="363"/>
    <tableColumn id="1" xr3:uid="{7E8CED9C-2EFB-47D6-80B9-BECB2A09779C}" name="Sector" dataDxfId="362"/>
    <tableColumn id="2" xr3:uid="{C069E34F-0A86-4B91-B6DA-C513E6B60C3D}" name="2015" dataDxfId="361"/>
    <tableColumn id="3" xr3:uid="{FB842BCA-65F0-4A6C-AEA8-E5AD0322CDBB}" name="2016" dataDxfId="360"/>
    <tableColumn id="4" xr3:uid="{5AF18114-974D-4BAF-B2C9-455C844D3E1E}" name="2017" dataDxfId="359"/>
    <tableColumn id="5" xr3:uid="{C8467D65-54E8-449B-9202-9B4749D847CC}" name="2018" dataDxfId="358"/>
    <tableColumn id="6" xr3:uid="{B95C48E5-F17C-4DCA-B8BE-AD833F4CF569}" name="2019" dataDxfId="357"/>
    <tableColumn id="7" xr3:uid="{F0BAF1FD-5557-4129-AE88-EF444FD92614}" name="2020" dataDxfId="356"/>
    <tableColumn id="8" xr3:uid="{3CDC56EB-232A-435B-8DD1-D8B1D3F46A7D}" name="2021" dataDxfId="355"/>
    <tableColumn id="9" xr3:uid="{1D6A2BBE-E8B8-4539-BA65-A7B4D78E86A0}" name="2022" dataDxfId="354"/>
    <tableColumn id="10" xr3:uid="{54980E15-49FA-4C78-B967-3E52EA2333C9}" name="2023" dataDxfId="353"/>
    <tableColumn id="11" xr3:uid="{82FC61A2-A22D-44C8-960C-2F9555BDC232}" name="2024" dataDxfId="352"/>
    <tableColumn id="12" xr3:uid="{D1F6C226-362D-473E-9634-F7FD0B33088E}" name="2025" dataDxfId="351">
      <calculatedColumnFormula>M1/M$9</calculatedColumnFormula>
    </tableColumn>
    <tableColumn id="13" xr3:uid="{30B79833-8A1E-409E-86FD-2BD5B5980A49}" name="% change March 2015 to March 2025" dataDxfId="350"/>
    <tableColumn id="15" xr3:uid="{403E71F2-0711-4011-A8F1-4C1C6B3F60B6}" name="% change March 2024 to March 2025" dataDxfId="349"/>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16AB227C-CA0A-47DF-B743-EFF534F9D0B3}" name="AvgMonthlyPop_YearlybyLegalBasis" displayName="AvgMonthlyPop_YearlybyLegalBasis" ref="A5:O14" totalsRowShown="0" headerRowDxfId="348" dataDxfId="346" headerRowBorderDxfId="347">
  <tableColumns count="15">
    <tableColumn id="16" xr3:uid="{77988DD0-FEC4-4CE5-A37F-51E203425D07}" name="Number or proportion" dataDxfId="345"/>
    <tableColumn id="1" xr3:uid="{DEEFAF23-479B-428E-BC5E-74E009F76173}" name="Average number of children" dataDxfId="344"/>
    <tableColumn id="2" xr3:uid="{3109E441-C531-4F74-A9AA-1DA1732B3FFE}" name="2015" dataDxfId="343"/>
    <tableColumn id="3" xr3:uid="{F1120223-0A07-4440-A8D3-C0756D758A7B}" name="2016" dataDxfId="342"/>
    <tableColumn id="4" xr3:uid="{BD9A7F65-A3FA-45E1-9271-2DD442160161}" name="2017" dataDxfId="341"/>
    <tableColumn id="5" xr3:uid="{CA802423-C6DA-456E-9511-89036904D5BE}" name="2018" dataDxfId="340"/>
    <tableColumn id="6" xr3:uid="{666DB399-57CB-4E98-AEFF-037CB447CB07}" name="2019" dataDxfId="339"/>
    <tableColumn id="7" xr3:uid="{F594A1CA-8D1A-4F1C-8707-0B74F3D0B658}" name="2020" dataDxfId="338"/>
    <tableColumn id="8" xr3:uid="{A8D6E149-B2FD-431D-B43C-05EB0AD1D639}" name="2021" dataDxfId="337"/>
    <tableColumn id="9" xr3:uid="{9E994C2D-9357-42E3-BBC7-DA353343FBAC}" name="2022" dataDxfId="336"/>
    <tableColumn id="10" xr3:uid="{B801FD68-B07C-4DB8-ABDD-195D1CFA4F02}" name="2023" dataDxfId="335"/>
    <tableColumn id="11" xr3:uid="{2E5EC949-75D4-4421-BB9C-BDFA57052501}" name="2024" dataDxfId="334"/>
    <tableColumn id="12" xr3:uid="{7F74A1A0-8C43-4825-81DA-7065C58745D4}" name="2025" dataDxfId="333"/>
    <tableColumn id="13" xr3:uid="{8D88C3E3-3EBB-4A13-BD1B-4769D1892A54}" name="% change March 2015 to March 2025" dataDxfId="332">
      <calculatedColumnFormula>SUM(M6-C6)*100</calculatedColumnFormula>
    </tableColumn>
    <tableColumn id="15" xr3:uid="{E7D912F1-561E-48DC-89CD-41A0C05199C0}" name="% change March 2024 to March 2025" dataDxfId="331">
      <calculatedColumnFormula>SUM(M6-L6)*100</calculatedColumnFormula>
    </tableColumn>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65D94BC5-E4B0-4DB8-A6E9-7599728F27C5}" name="AvgMonthlyPop_YearlybyPrimaryOffence" displayName="AvgMonthlyPop_YearlybyPrimaryOffence" ref="A5:O21" totalsRowShown="0" headerRowDxfId="330" dataDxfId="328" headerRowBorderDxfId="329" tableBorderDxfId="327">
  <tableColumns count="15">
    <tableColumn id="15" xr3:uid="{91782027-1939-40B8-9309-53B896DE72DA}" name="Number or proportion" dataDxfId="326"/>
    <tableColumn id="1" xr3:uid="{94F95438-C480-4577-AC3D-69BB4B3D2B6A}" name="Offence group" dataDxfId="325"/>
    <tableColumn id="2" xr3:uid="{FE81BD8F-960B-4332-95C3-294E66E54EF3}" name="2015" dataDxfId="324"/>
    <tableColumn id="3" xr3:uid="{483CEC96-85A2-4850-8369-39C62BA2B3AB}" name="2016" dataDxfId="323"/>
    <tableColumn id="4" xr3:uid="{94E3A49D-BD2A-4A3F-B231-A10816004D70}" name="2017" dataDxfId="322"/>
    <tableColumn id="5" xr3:uid="{D49DDA07-50C7-486D-879E-8C0176B809F0}" name="2018" dataDxfId="321"/>
    <tableColumn id="6" xr3:uid="{9EDBF441-94A8-4348-A4AA-B7898AA59590}" name="2019" dataDxfId="320"/>
    <tableColumn id="7" xr3:uid="{A283B792-0052-4F31-BB13-DBD3C04693C9}" name="2020" dataDxfId="319"/>
    <tableColumn id="8" xr3:uid="{D8647B21-0067-4A1D-969C-224394A76E95}" name="2021" dataDxfId="318"/>
    <tableColumn id="9" xr3:uid="{7547FCF2-DCC5-4AEF-95B0-F2776B4023DD}" name="2022" dataDxfId="317"/>
    <tableColumn id="10" xr3:uid="{6E5A9F22-2972-4DA4-B2CE-7CAAB71F542D}" name="2023" dataDxfId="316"/>
    <tableColumn id="11" xr3:uid="{7953E250-F64A-4BDE-ADF8-FD612BCF3FA5}" name="2024" dataDxfId="315"/>
    <tableColumn id="12" xr3:uid="{5EEEC5E3-421B-46A0-9413-BC538096567F}" name="2025" dataDxfId="314"/>
    <tableColumn id="16" xr3:uid="{7A69AF6B-AD99-4AB7-902B-D70B18BA45F9}" name="% change March 2015 to March 2025" dataDxfId="313">
      <calculatedColumnFormula>AvgMonthlyPop_YearlybyPrimaryOffence[[#This Row],[2025]]/AvgMonthlyPop_YearlybyPrimaryOffence[[#This Row],[2015]]-1</calculatedColumnFormula>
    </tableColumn>
    <tableColumn id="14" xr3:uid="{3D7B47DC-34B5-4521-8464-9233233DEAB8}" name="% change March 2024 to March 2025" dataDxfId="312"/>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BBF562C9-FCB6-4D0E-B9C0-1E23B940D73F}" name="AvgMonthlyPop_YearlybyDistfromHome" displayName="AvgMonthlyPop_YearlybyDistfromHome" ref="A3:M16" totalsRowShown="0" headerRowDxfId="311" dataDxfId="309" headerRowBorderDxfId="310" tableBorderDxfId="308">
  <tableColumns count="13">
    <tableColumn id="1" xr3:uid="{8DCED8E8-375C-49A5-B0EB-578C074C00BD}" name="Number or proportion" dataDxfId="307" dataCellStyle="Comma"/>
    <tableColumn id="2" xr3:uid="{21C5A1B6-FBFF-4760-989D-F04FC2D8BCB3}" name="Distance from home band" dataDxfId="306" dataCellStyle="Comma"/>
    <tableColumn id="13" xr3:uid="{09B75C84-1B5C-4072-8E7A-EB5AA9963EC6}" name="2016" dataDxfId="305"/>
    <tableColumn id="3" xr3:uid="{6B45DF01-F97D-46E7-AF83-3B2DA0653917}" name="2017" dataDxfId="304"/>
    <tableColumn id="4" xr3:uid="{D9BFB9D7-1789-440E-BAE8-631EF2AB4638}" name="2018" dataDxfId="303"/>
    <tableColumn id="5" xr3:uid="{EA6DA47D-837C-404F-873E-140FC3D56612}" name="2019" dataDxfId="302"/>
    <tableColumn id="6" xr3:uid="{56931CCF-6D4E-4A6D-898D-46E15C4803E9}" name="2020" dataDxfId="301"/>
    <tableColumn id="7" xr3:uid="{777CA80F-B2B8-450B-8FFC-E9E64A44FCD8}" name="2021" dataDxfId="300"/>
    <tableColumn id="8" xr3:uid="{DAA3FD1E-44D9-4F9B-BCA9-EA70E3804F62}" name="2022" dataDxfId="299"/>
    <tableColumn id="9" xr3:uid="{5A7D553C-8736-4F91-A42F-E7FDCE36D291}" name="2023" dataDxfId="298"/>
    <tableColumn id="10" xr3:uid="{0BF4EB86-9D2E-4E62-9B2B-638581E14180}" name="2024" dataDxfId="297"/>
    <tableColumn id="14" xr3:uid="{A54654DA-2999-5140-8015-0532D49C3D20}" name="2025" dataDxfId="296"/>
    <tableColumn id="12" xr3:uid="{7AC53BA7-FAB4-40A4-88C7-EE99D34BBCE6}" name="% change March 2024 to March 2025" dataDxfId="295"/>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5F335E80-C765-4C59-85AA-6A1E38375DEB}" name="AvgMonthlyPop_YearlybyAge_Sex" displayName="AvgMonthlyPop_YearlybyAge_Sex" ref="A3:P19" totalsRowShown="0" headerRowDxfId="294" headerRowBorderDxfId="293" tableBorderDxfId="292">
  <tableColumns count="16">
    <tableColumn id="1" xr3:uid="{875C4624-2DF9-48EE-88A2-5C896215D8F6}" name="Number or proportion"/>
    <tableColumn id="2" xr3:uid="{B68CF3C2-6EA7-48ED-90C4-7A8455787103}" name="Demographic group"/>
    <tableColumn id="3" xr3:uid="{283647C4-8785-4E2D-BBBF-265BD426E0FD}" name="Demographic characteristic"/>
    <tableColumn id="4" xr3:uid="{B84B42BC-8D1A-49EC-BC45-1A91DB77B4B9}" name="2015" dataDxfId="291" dataCellStyle="Comma"/>
    <tableColumn id="5" xr3:uid="{20B99F0B-D04F-4D6A-8220-B7FF5741F132}" name="2016" dataDxfId="290" dataCellStyle="Comma"/>
    <tableColumn id="6" xr3:uid="{713D3348-BEF3-4FC6-934F-4938C3B77825}" name="2017" dataDxfId="289" dataCellStyle="Comma"/>
    <tableColumn id="7" xr3:uid="{44B2C07D-154A-4A1A-8666-F6BDBB14613F}" name="2018" dataDxfId="288" dataCellStyle="Comma"/>
    <tableColumn id="8" xr3:uid="{72C66694-7C90-4C6A-A863-E6166E900AC1}" name="2019" dataDxfId="287" dataCellStyle="Comma"/>
    <tableColumn id="9" xr3:uid="{16EF6C07-33EE-4660-A02C-20DBC135369D}" name="2020" dataDxfId="286" dataCellStyle="Comma"/>
    <tableColumn id="10" xr3:uid="{48C9EA26-51A1-457F-B2B6-2D3CD1C23DA1}" name="2021" dataDxfId="285" dataCellStyle="Comma"/>
    <tableColumn id="11" xr3:uid="{8AF4B8C0-86D3-4E4A-84D3-8E55A4735BB1}" name="2022" dataDxfId="284" dataCellStyle="Comma"/>
    <tableColumn id="12" xr3:uid="{DE5EEEF5-9A7E-4F50-ABA7-AC30B8194854}" name="2023" dataDxfId="283" dataCellStyle="Comma"/>
    <tableColumn id="13" xr3:uid="{83CBBB1B-1094-4117-A40C-33CCBCB206DD}" name="2024" dataDxfId="282" dataCellStyle="Comma"/>
    <tableColumn id="14" xr3:uid="{D530E68B-87E7-4277-A869-05975504CDD3}" name="2025" dataDxfId="281" dataCellStyle="Comma"/>
    <tableColumn id="15" xr3:uid="{8884BA9B-71CD-4A21-BB98-C2AC93A014D9}" name="% change March 2015 to March 2025" dataDxfId="280">
      <calculatedColumnFormula>(N4-D4)*100</calculatedColumnFormula>
    </tableColumn>
    <tableColumn id="17" xr3:uid="{72B03D95-D665-4EDA-A099-B02C09283433}" name="% change March 2024 to March 2025" dataDxfId="279">
      <calculatedColumnFormula>(N4-M4)*100</calculatedColumnFormula>
    </tableColumn>
  </tableColumns>
  <tableStyleInfo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EEAD2A0B-5775-4CA4-BA9D-35FFAF511D3C}" name="AvgMonthlyPop_YearlybyEthnicity" displayName="AvgMonthlyPop_YearlybyEthnicity" ref="A4:O17" totalsRowShown="0" headerRowDxfId="278" dataDxfId="276" headerRowBorderDxfId="277" tableBorderDxfId="275">
  <tableColumns count="15">
    <tableColumn id="16" xr3:uid="{457F0BEE-2D98-40EC-9C2F-B7E8CDB0F69A}" name="Number or proportion" dataDxfId="274"/>
    <tableColumn id="1" xr3:uid="{89B654FB-BA79-44C0-A0C5-0CAB1ACF62FD}" name="Ethnic group" dataDxfId="273"/>
    <tableColumn id="2" xr3:uid="{09777101-1534-4EC6-B10D-378E39772595}" name="2015" dataDxfId="272"/>
    <tableColumn id="3" xr3:uid="{35B56FCB-1B12-4DFE-BB71-4FF524D8F439}" name="2016" dataDxfId="271"/>
    <tableColumn id="4" xr3:uid="{5C870FFE-8448-4DD7-89B4-152574EB6179}" name="2017" dataDxfId="270"/>
    <tableColumn id="5" xr3:uid="{05C1AC18-27B6-4F8D-882C-E648EBBC5979}" name="2018" dataDxfId="269"/>
    <tableColumn id="6" xr3:uid="{2CA9F8B7-E52A-4165-B90B-9B55274E15CA}" name="2019" dataDxfId="268"/>
    <tableColumn id="7" xr3:uid="{F7D8028E-0D8C-4387-B765-D75D9E9E0FDE}" name="2020" dataDxfId="267"/>
    <tableColumn id="8" xr3:uid="{975EAB72-8776-46FE-B12D-A1986892F710}" name="2021" dataDxfId="266"/>
    <tableColumn id="9" xr3:uid="{53FB661D-CB71-465B-B4D1-FD1CB6BF3307}" name="2022" dataDxfId="265"/>
    <tableColumn id="10" xr3:uid="{9FDAD2D5-D1F7-4DDD-851E-3A6365382F3F}" name="2023" dataDxfId="264"/>
    <tableColumn id="11" xr3:uid="{65127FEC-6DAD-49B2-832D-CFEB7079CFB6}" name="2024" dataDxfId="263"/>
    <tableColumn id="12" xr3:uid="{3D56E005-95FA-4885-B048-118ACF7C0CDB}" name="2025" dataDxfId="262"/>
    <tableColumn id="13" xr3:uid="{BD46BD15-5F30-4C5B-BFE9-A561D1701BAE}" name="% change March 2015 to March 2025" dataDxfId="261"/>
    <tableColumn id="15" xr3:uid="{C76445CC-69E9-4C2C-8F5E-806797C4AFCB}" name="% change March 2024 to March 2025" dataDxfId="260"/>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ons.gov.uk/peoplepopulationandcommunity/populationandmigration/populationestimates/datasets/populationestimatesforukenglandandwalesscotlandandnorthernireland" TargetMode="External"/><Relationship Id="rId2" Type="http://schemas.openxmlformats.org/officeDocument/2006/relationships/hyperlink" Target="https://www.gov.uk/government/statistics/guide-to-youth-justice-statistics" TargetMode="External"/><Relationship Id="rId1" Type="http://schemas.openxmlformats.org/officeDocument/2006/relationships/hyperlink" Target="https://www.gov.uk/government/statistics/youth-custody-data" TargetMode="External"/></Relationships>
</file>

<file path=xl/worksheets/_rels/sheet10.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table" Target="../tables/table11.xml"/></Relationships>
</file>

<file path=xl/worksheets/_rels/sheet13.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1" Type="http://schemas.openxmlformats.org/officeDocument/2006/relationships/table" Target="../tables/table14.xml"/></Relationships>
</file>

<file path=xl/worksheets/_rels/sheet15.xml.rels><?xml version="1.0" encoding="UTF-8" standalone="yes"?>
<Relationships xmlns="http://schemas.openxmlformats.org/package/2006/relationships"><Relationship Id="rId1" Type="http://schemas.openxmlformats.org/officeDocument/2006/relationships/table" Target="../tables/table15.xml"/></Relationships>
</file>

<file path=xl/worksheets/_rels/sheet16.xml.rels><?xml version="1.0" encoding="UTF-8" standalone="yes"?>
<Relationships xmlns="http://schemas.openxmlformats.org/package/2006/relationships"><Relationship Id="rId1" Type="http://schemas.openxmlformats.org/officeDocument/2006/relationships/table" Target="../tables/table16.xml"/></Relationships>
</file>

<file path=xl/worksheets/_rels/sheet17.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table" Target="../tables/table17.xml"/></Relationships>
</file>

<file path=xl/worksheets/_rels/sheet18.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table" Target="../tables/table19.xml"/></Relationships>
</file>

<file path=xl/worksheets/_rels/sheet19.xml.rels><?xml version="1.0" encoding="UTF-8" standalone="yes"?>
<Relationships xmlns="http://schemas.openxmlformats.org/package/2006/relationships"><Relationship Id="rId1" Type="http://schemas.openxmlformats.org/officeDocument/2006/relationships/table" Target="../tables/table2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table" Target="../tables/table22.xml"/></Relationships>
</file>

<file path=xl/worksheets/_rels/sheet21.xml.rels><?xml version="1.0" encoding="UTF-8" standalone="yes"?>
<Relationships xmlns="http://schemas.openxmlformats.org/package/2006/relationships"><Relationship Id="rId1" Type="http://schemas.openxmlformats.org/officeDocument/2006/relationships/table" Target="../tables/table23.xml"/></Relationships>
</file>

<file path=xl/worksheets/_rels/sheet22.xml.rels><?xml version="1.0" encoding="UTF-8" standalone="yes"?>
<Relationships xmlns="http://schemas.openxmlformats.org/package/2006/relationships"><Relationship Id="rId2" Type="http://schemas.openxmlformats.org/officeDocument/2006/relationships/table" Target="../tables/table24.xml"/><Relationship Id="rId1"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table" Target="../tables/table3.xml"/></Relationships>
</file>

<file path=xl/worksheets/_rels/sheet5.xml.rels><?xml version="1.0" encoding="UTF-8" standalone="yes"?>
<Relationships xmlns="http://schemas.openxmlformats.org/package/2006/relationships"><Relationship Id="rId1" Type="http://schemas.openxmlformats.org/officeDocument/2006/relationships/table" Target="../tables/table4.xml"/></Relationships>
</file>

<file path=xl/worksheets/_rels/sheet6.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table" Target="../tables/table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D695FE-036F-457C-A5B5-D95F1C497328}">
  <sheetPr codeName="Sheet1"/>
  <dimension ref="A1:B34"/>
  <sheetViews>
    <sheetView tabSelected="1" workbookViewId="0"/>
  </sheetViews>
  <sheetFormatPr defaultColWidth="8.6640625" defaultRowHeight="15" x14ac:dyDescent="0.2"/>
  <cols>
    <col min="1" max="1" width="16.109375" bestFit="1" customWidth="1"/>
    <col min="2" max="2" width="115.33203125" bestFit="1" customWidth="1"/>
  </cols>
  <sheetData>
    <row r="1" spans="1:2" ht="15.75" x14ac:dyDescent="0.2">
      <c r="A1" s="14" t="s">
        <v>0</v>
      </c>
      <c r="B1" s="4"/>
    </row>
    <row r="2" spans="1:2" ht="15.75" x14ac:dyDescent="0.25">
      <c r="A2" s="16" t="s">
        <v>142</v>
      </c>
      <c r="B2" s="16" t="s">
        <v>1</v>
      </c>
    </row>
    <row r="3" spans="1:2" ht="15.75" x14ac:dyDescent="0.25">
      <c r="A3" s="35" t="s">
        <v>2</v>
      </c>
      <c r="B3" s="15"/>
    </row>
    <row r="4" spans="1:2" x14ac:dyDescent="0.2">
      <c r="A4" s="36" t="s">
        <v>3</v>
      </c>
      <c r="B4" s="9" t="s">
        <v>223</v>
      </c>
    </row>
    <row r="5" spans="1:2" x14ac:dyDescent="0.2">
      <c r="A5" s="36" t="s">
        <v>4</v>
      </c>
      <c r="B5" s="9" t="s">
        <v>224</v>
      </c>
    </row>
    <row r="6" spans="1:2" x14ac:dyDescent="0.2">
      <c r="A6" s="36" t="s">
        <v>201</v>
      </c>
      <c r="B6" s="9" t="s">
        <v>225</v>
      </c>
    </row>
    <row r="7" spans="1:2" x14ac:dyDescent="0.2">
      <c r="A7" s="36" t="s">
        <v>5</v>
      </c>
      <c r="B7" s="9" t="s">
        <v>226</v>
      </c>
    </row>
    <row r="8" spans="1:2" x14ac:dyDescent="0.2">
      <c r="A8" s="36" t="s">
        <v>6</v>
      </c>
      <c r="B8" s="9" t="s">
        <v>227</v>
      </c>
    </row>
    <row r="9" spans="1:2" x14ac:dyDescent="0.2">
      <c r="A9" s="36" t="s">
        <v>7</v>
      </c>
      <c r="B9" s="9" t="s">
        <v>228</v>
      </c>
    </row>
    <row r="10" spans="1:2" x14ac:dyDescent="0.2">
      <c r="A10" s="36" t="s">
        <v>8</v>
      </c>
      <c r="B10" s="9" t="s">
        <v>229</v>
      </c>
    </row>
    <row r="11" spans="1:2" x14ac:dyDescent="0.2">
      <c r="A11" s="36" t="s">
        <v>9</v>
      </c>
      <c r="B11" s="9" t="s">
        <v>282</v>
      </c>
    </row>
    <row r="12" spans="1:2" x14ac:dyDescent="0.2">
      <c r="A12" s="36" t="s">
        <v>10</v>
      </c>
      <c r="B12" s="9" t="s">
        <v>283</v>
      </c>
    </row>
    <row r="13" spans="1:2" x14ac:dyDescent="0.2">
      <c r="A13" s="263" t="s">
        <v>352</v>
      </c>
      <c r="B13" s="9" t="s">
        <v>230</v>
      </c>
    </row>
    <row r="14" spans="1:2" x14ac:dyDescent="0.2">
      <c r="A14" s="36" t="s">
        <v>11</v>
      </c>
      <c r="B14" s="9" t="s">
        <v>284</v>
      </c>
    </row>
    <row r="15" spans="1:2" x14ac:dyDescent="0.2">
      <c r="A15" s="36" t="s">
        <v>12</v>
      </c>
      <c r="B15" s="9" t="s">
        <v>231</v>
      </c>
    </row>
    <row r="16" spans="1:2" ht="15.75" x14ac:dyDescent="0.25">
      <c r="A16" s="35" t="s">
        <v>14</v>
      </c>
      <c r="B16" s="35"/>
    </row>
    <row r="17" spans="1:2" x14ac:dyDescent="0.2">
      <c r="A17" s="36" t="s">
        <v>13</v>
      </c>
      <c r="B17" s="1" t="s">
        <v>335</v>
      </c>
    </row>
    <row r="18" spans="1:2" x14ac:dyDescent="0.2">
      <c r="A18" s="263" t="s">
        <v>337</v>
      </c>
      <c r="B18" s="1" t="s">
        <v>285</v>
      </c>
    </row>
    <row r="19" spans="1:2" ht="15.75" x14ac:dyDescent="0.25">
      <c r="A19" s="35" t="s">
        <v>15</v>
      </c>
      <c r="B19" s="35"/>
    </row>
    <row r="20" spans="1:2" x14ac:dyDescent="0.2">
      <c r="A20" s="263" t="s">
        <v>353</v>
      </c>
      <c r="B20" s="1" t="s">
        <v>232</v>
      </c>
    </row>
    <row r="21" spans="1:2" x14ac:dyDescent="0.2">
      <c r="A21" s="263" t="s">
        <v>354</v>
      </c>
      <c r="B21" s="1" t="s">
        <v>286</v>
      </c>
    </row>
    <row r="22" spans="1:2" x14ac:dyDescent="0.2">
      <c r="A22" s="36" t="s">
        <v>203</v>
      </c>
      <c r="B22" s="1" t="s">
        <v>233</v>
      </c>
    </row>
    <row r="23" spans="1:2" x14ac:dyDescent="0.2">
      <c r="A23" s="36" t="s">
        <v>204</v>
      </c>
      <c r="B23" s="1" t="s">
        <v>287</v>
      </c>
    </row>
    <row r="24" spans="1:2" x14ac:dyDescent="0.2">
      <c r="A24" s="36" t="s">
        <v>205</v>
      </c>
      <c r="B24" s="1" t="s">
        <v>234</v>
      </c>
    </row>
    <row r="25" spans="1:2" ht="15.75" x14ac:dyDescent="0.25">
      <c r="A25" s="35" t="s">
        <v>206</v>
      </c>
      <c r="B25" s="1"/>
    </row>
    <row r="26" spans="1:2" x14ac:dyDescent="0.2">
      <c r="A26" s="36" t="s">
        <v>200</v>
      </c>
      <c r="B26" s="1" t="s">
        <v>235</v>
      </c>
    </row>
    <row r="27" spans="1:2" x14ac:dyDescent="0.2">
      <c r="A27" s="284" t="s">
        <v>16</v>
      </c>
      <c r="B27" s="9"/>
    </row>
    <row r="28" spans="1:2" x14ac:dyDescent="0.2">
      <c r="A28" s="20" t="s">
        <v>186</v>
      </c>
      <c r="B28" s="9"/>
    </row>
    <row r="29" spans="1:2" x14ac:dyDescent="0.2">
      <c r="A29" s="285" t="s">
        <v>17</v>
      </c>
      <c r="B29" s="1"/>
    </row>
    <row r="30" spans="1:2" x14ac:dyDescent="0.2">
      <c r="A30" s="20" t="s">
        <v>185</v>
      </c>
      <c r="B30" s="1"/>
    </row>
    <row r="31" spans="1:2" x14ac:dyDescent="0.2">
      <c r="A31" s="37" t="s">
        <v>18</v>
      </c>
      <c r="B31" s="37"/>
    </row>
    <row r="32" spans="1:2" x14ac:dyDescent="0.2">
      <c r="A32" s="1" t="s">
        <v>40</v>
      </c>
      <c r="B32" s="4"/>
    </row>
    <row r="33" spans="1:2" x14ac:dyDescent="0.2">
      <c r="A33" s="33" t="s">
        <v>41</v>
      </c>
      <c r="B33" s="4"/>
    </row>
    <row r="34" spans="1:2" x14ac:dyDescent="0.2">
      <c r="A34" s="36" t="s">
        <v>78</v>
      </c>
      <c r="B34" s="4"/>
    </row>
  </sheetData>
  <hyperlinks>
    <hyperlink ref="A31" r:id="rId1" xr:uid="{15A07CF1-2510-4D25-A7B5-393C2A0CA183}"/>
    <hyperlink ref="A17" location="'7.13'!A1" display="Table 7.13" xr:uid="{A81DBC9E-0307-487A-BE44-F5FE1BE500C7}"/>
    <hyperlink ref="A21" location="'7.16'!A1" display="Tables 7.16a and 7.16b" xr:uid="{FB1F4FE8-38DD-42AC-AF8E-9B11D14873BA}"/>
    <hyperlink ref="A22" location="'7.17'!A1" display="Table 7.17" xr:uid="{BA9CF029-63CD-4513-A3EB-CB07A1AE5FF7}"/>
    <hyperlink ref="A23" location="'7.18'!A1" display="Table 7.18" xr:uid="{4CB94964-9FBD-45D3-8A71-41DD7D9E0C33}"/>
    <hyperlink ref="A24" location="'7.19'!A1" display="Table 7.19" xr:uid="{052C4D42-01B5-45B9-81B6-51AC6E2FDDE1}"/>
    <hyperlink ref="A18" location="'7.14'!A1" display="Table 7.14" xr:uid="{FC6E5212-ABD0-4D71-89A6-2A21DBB92527}"/>
    <hyperlink ref="A4" location="'7.1'!A1" display="Table 7.1" xr:uid="{D12EDCAB-323B-45C7-9FA6-1007F1E8A94F}"/>
    <hyperlink ref="A33" r:id="rId2" xr:uid="{7A6071E1-BFC6-437E-912A-2C19C43EA41B}"/>
    <hyperlink ref="A34" r:id="rId3" xr:uid="{4DEA89EA-BB74-438D-BB9E-5D9D49D3F300}"/>
    <hyperlink ref="A5" location="'7.2'!A1" display="Table 7.2" xr:uid="{97CA031B-FF72-4A03-88BF-AE0B491542E4}"/>
    <hyperlink ref="A7" location="'7.4'!A1" display="Table 7.4" xr:uid="{765A73BB-482A-4BC8-A7FC-712C08B6044B}"/>
    <hyperlink ref="A9" location="'7.6'!A1" display="Table 7.6" xr:uid="{90B7D130-A427-4D0F-873E-113BA75C8EA3}"/>
    <hyperlink ref="A11" location="'7.8'!A1" display="Table 7.8" xr:uid="{5E025620-8F7F-4AF4-9FDB-3A759C125FB2}"/>
    <hyperlink ref="A12" location="'7.9'!A1" display="Table 7.9" xr:uid="{2E8866D7-165E-42F7-93D0-E774BA5A7F51}"/>
    <hyperlink ref="A13" location="'7.10'!A1" display="Tables 7.10a and 7.10b" xr:uid="{F3A5C235-F255-46A0-8228-FB47E1592CB3}"/>
    <hyperlink ref="A14" location="'7.11'!A1" display="Table 7.11" xr:uid="{DBC09A59-F88E-4FE7-B9EB-5D24E3CBB168}"/>
    <hyperlink ref="A6" location="'7.3'!A1" display="Table 7.3" xr:uid="{D29BBB99-4470-421C-8989-4E5203A1C863}"/>
    <hyperlink ref="A8" location="'7.5'!A1" display="Table 7.5" xr:uid="{42B8B154-0249-4A7A-8D44-28243A1D7CAF}"/>
    <hyperlink ref="A10" location="'7.7'!A1" display="Table 7.7" xr:uid="{5D927A16-9C74-459F-B40D-8140208A1D7D}"/>
    <hyperlink ref="A15" location="'7.12'!A1" display="Table 7.12" xr:uid="{BABE7C3C-0D3B-4C6F-808F-177E9309ABF6}"/>
    <hyperlink ref="A26" location="'7.20'!A1" display="Table 7.20" xr:uid="{7CCA8720-A7F2-4F52-BDDC-39FA5A62275B}"/>
    <hyperlink ref="A20" location="'7.15'!A1" display="Tables 7.15a and 7.15b" xr:uid="{945EDF2F-2850-4301-9F83-4CEA12866A0B}"/>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E2CB50-71AC-4A5D-86F5-17C84D74F67C}">
  <sheetPr codeName="Sheet10"/>
  <dimension ref="A1:O17"/>
  <sheetViews>
    <sheetView zoomScaleNormal="100" workbookViewId="0"/>
  </sheetViews>
  <sheetFormatPr defaultColWidth="8.6640625" defaultRowHeight="15" x14ac:dyDescent="0.2"/>
  <cols>
    <col min="1" max="1" width="23.5546875" style="253" bestFit="1" customWidth="1"/>
    <col min="2" max="2" width="15.6640625" style="253" bestFit="1" customWidth="1"/>
    <col min="3" max="13" width="8.6640625" style="253"/>
    <col min="14" max="15" width="11.6640625" style="253" customWidth="1"/>
    <col min="16" max="16384" width="8.6640625" style="253"/>
  </cols>
  <sheetData>
    <row r="1" spans="1:15" ht="15.75" x14ac:dyDescent="0.2">
      <c r="A1" s="252" t="s">
        <v>289</v>
      </c>
      <c r="B1" s="252"/>
      <c r="C1" s="12"/>
      <c r="D1" s="12"/>
      <c r="E1" s="12"/>
      <c r="F1" s="12"/>
      <c r="G1" s="12"/>
      <c r="H1" s="12"/>
      <c r="I1" s="12"/>
      <c r="J1" s="12"/>
      <c r="K1" s="12"/>
      <c r="L1" s="12"/>
      <c r="M1" s="12"/>
      <c r="N1" s="12"/>
      <c r="O1" s="12"/>
    </row>
    <row r="2" spans="1:15" ht="15.75" x14ac:dyDescent="0.2">
      <c r="A2" s="254" t="s">
        <v>121</v>
      </c>
      <c r="B2" s="252"/>
      <c r="C2" s="12"/>
      <c r="D2" s="12"/>
      <c r="E2" s="12"/>
      <c r="F2" s="12"/>
      <c r="G2" s="12"/>
      <c r="H2" s="12"/>
      <c r="I2" s="12"/>
      <c r="J2" s="12"/>
      <c r="K2" s="12"/>
      <c r="L2" s="12"/>
      <c r="M2" s="12"/>
      <c r="N2" s="12"/>
      <c r="O2" s="12"/>
    </row>
    <row r="3" spans="1:15" x14ac:dyDescent="0.2">
      <c r="A3" s="254" t="s">
        <v>346</v>
      </c>
      <c r="B3" s="254"/>
      <c r="C3" s="12"/>
      <c r="D3" s="12"/>
      <c r="E3" s="12"/>
      <c r="F3" s="12"/>
      <c r="G3" s="12"/>
      <c r="H3" s="12"/>
      <c r="I3" s="12"/>
      <c r="J3" s="12"/>
      <c r="K3" s="12"/>
      <c r="L3" s="12"/>
      <c r="M3" s="12"/>
      <c r="N3" s="12"/>
      <c r="O3" s="12"/>
    </row>
    <row r="4" spans="1:15" ht="38.25" x14ac:dyDescent="0.2">
      <c r="A4" s="40" t="s">
        <v>160</v>
      </c>
      <c r="B4" s="40" t="s">
        <v>334</v>
      </c>
      <c r="C4" s="45" t="s">
        <v>113</v>
      </c>
      <c r="D4" s="45" t="s">
        <v>114</v>
      </c>
      <c r="E4" s="45" t="s">
        <v>115</v>
      </c>
      <c r="F4" s="45" t="s">
        <v>116</v>
      </c>
      <c r="G4" s="45" t="s">
        <v>117</v>
      </c>
      <c r="H4" s="45" t="s">
        <v>118</v>
      </c>
      <c r="I4" s="45" t="s">
        <v>119</v>
      </c>
      <c r="J4" s="45" t="s">
        <v>120</v>
      </c>
      <c r="K4" s="45" t="s">
        <v>164</v>
      </c>
      <c r="L4" s="45" t="s">
        <v>187</v>
      </c>
      <c r="M4" s="45" t="s">
        <v>236</v>
      </c>
      <c r="N4" s="58" t="s">
        <v>238</v>
      </c>
      <c r="O4" s="58" t="s">
        <v>239</v>
      </c>
    </row>
    <row r="5" spans="1:15" x14ac:dyDescent="0.2">
      <c r="A5" s="10" t="s">
        <v>290</v>
      </c>
      <c r="B5" s="10" t="s">
        <v>62</v>
      </c>
      <c r="C5" s="200">
        <v>89.5</v>
      </c>
      <c r="D5" s="200">
        <v>99.583333333333329</v>
      </c>
      <c r="E5" s="200">
        <v>89.583333333333329</v>
      </c>
      <c r="F5" s="200">
        <v>83.166666666666671</v>
      </c>
      <c r="G5" s="200">
        <v>75.833333333333329</v>
      </c>
      <c r="H5" s="200">
        <v>80.333333333333329</v>
      </c>
      <c r="I5" s="200">
        <v>54</v>
      </c>
      <c r="J5" s="200">
        <v>40.833333333333336</v>
      </c>
      <c r="K5" s="200">
        <v>43.333333333333336</v>
      </c>
      <c r="L5" s="200">
        <v>38.75</v>
      </c>
      <c r="M5" s="200">
        <v>50.083333333333336</v>
      </c>
      <c r="N5" s="80">
        <f>AvgMonthlyPop_YearlybyEthnicity[[#This Row],[2025]]/AvgMonthlyPop_YearlybyEthnicity[[#This Row],[2015]]-1</f>
        <v>-0.44040968342644315</v>
      </c>
      <c r="O5" s="80">
        <f>AvgMonthlyPop_YearlybyEthnicity[[#This Row],[2025]]/AvgMonthlyPop_YearlybyEthnicity[[#This Row],[2024]]-1</f>
        <v>0.2924731182795699</v>
      </c>
    </row>
    <row r="6" spans="1:15" x14ac:dyDescent="0.2">
      <c r="A6" s="20" t="s">
        <v>290</v>
      </c>
      <c r="B6" s="20" t="s">
        <v>63</v>
      </c>
      <c r="C6" s="24">
        <v>218.66666666666666</v>
      </c>
      <c r="D6" s="24">
        <v>204.75</v>
      </c>
      <c r="E6" s="24">
        <v>202.91666666666666</v>
      </c>
      <c r="F6" s="24">
        <v>226.25</v>
      </c>
      <c r="G6" s="24">
        <v>239</v>
      </c>
      <c r="H6" s="24">
        <v>216.25</v>
      </c>
      <c r="I6" s="24">
        <v>160.91666666666666</v>
      </c>
      <c r="J6" s="24">
        <v>123.83333333333333</v>
      </c>
      <c r="K6" s="24">
        <v>112.25</v>
      </c>
      <c r="L6" s="24">
        <v>99.666666666666671</v>
      </c>
      <c r="M6" s="24">
        <v>88.666666666666671</v>
      </c>
      <c r="N6" s="81">
        <f>AvgMonthlyPop_YearlybyEthnicity[[#This Row],[2025]]/AvgMonthlyPop_YearlybyEthnicity[[#This Row],[2015]]-1</f>
        <v>-0.59451219512195119</v>
      </c>
      <c r="O6" s="81">
        <f>AvgMonthlyPop_YearlybyEthnicity[[#This Row],[2025]]/AvgMonthlyPop_YearlybyEthnicity[[#This Row],[2024]]-1</f>
        <v>-0.11036789297658867</v>
      </c>
    </row>
    <row r="7" spans="1:15" x14ac:dyDescent="0.2">
      <c r="A7" s="250" t="s">
        <v>290</v>
      </c>
      <c r="B7" s="250" t="s">
        <v>64</v>
      </c>
      <c r="C7" s="60">
        <v>101.08333333333333</v>
      </c>
      <c r="D7" s="60">
        <v>94.333333333333329</v>
      </c>
      <c r="E7" s="60">
        <v>97.666666666666671</v>
      </c>
      <c r="F7" s="60">
        <v>93.25</v>
      </c>
      <c r="G7" s="60">
        <v>100.25</v>
      </c>
      <c r="H7" s="60">
        <v>97.333333333333329</v>
      </c>
      <c r="I7" s="60">
        <v>77.083333333333329</v>
      </c>
      <c r="J7" s="60">
        <v>66.916666666666671</v>
      </c>
      <c r="K7" s="60">
        <v>63.916666666666664</v>
      </c>
      <c r="L7" s="60">
        <v>74.666666666666671</v>
      </c>
      <c r="M7" s="60">
        <v>71.833333333333329</v>
      </c>
      <c r="N7" s="196">
        <f>AvgMonthlyPop_YearlybyEthnicity[[#This Row],[2025]]/AvgMonthlyPop_YearlybyEthnicity[[#This Row],[2015]]-1</f>
        <v>-0.28936521022258865</v>
      </c>
      <c r="O7" s="196">
        <f>AvgMonthlyPop_YearlybyEthnicity[[#This Row],[2025]]/AvgMonthlyPop_YearlybyEthnicity[[#This Row],[2024]]-1</f>
        <v>-3.7946428571428714E-2</v>
      </c>
    </row>
    <row r="8" spans="1:15" x14ac:dyDescent="0.2">
      <c r="A8" s="255" t="s">
        <v>290</v>
      </c>
      <c r="B8" s="255" t="s">
        <v>188</v>
      </c>
      <c r="C8" s="61">
        <f t="shared" ref="C8:L8" si="0">SUM(C5:C7)</f>
        <v>409.24999999999994</v>
      </c>
      <c r="D8" s="61">
        <f t="shared" si="0"/>
        <v>398.66666666666663</v>
      </c>
      <c r="E8" s="61">
        <f t="shared" si="0"/>
        <v>390.16666666666669</v>
      </c>
      <c r="F8" s="61">
        <f t="shared" si="0"/>
        <v>402.66666666666669</v>
      </c>
      <c r="G8" s="61">
        <f t="shared" si="0"/>
        <v>415.08333333333331</v>
      </c>
      <c r="H8" s="61">
        <f t="shared" si="0"/>
        <v>393.91666666666663</v>
      </c>
      <c r="I8" s="61">
        <f t="shared" si="0"/>
        <v>292</v>
      </c>
      <c r="J8" s="61">
        <f t="shared" si="0"/>
        <v>231.58333333333331</v>
      </c>
      <c r="K8" s="61">
        <f t="shared" si="0"/>
        <v>219.5</v>
      </c>
      <c r="L8" s="61">
        <f t="shared" si="0"/>
        <v>213.08333333333337</v>
      </c>
      <c r="M8" s="61">
        <f t="shared" ref="M8" si="1">SUM(M5:M7)</f>
        <v>210.58333333333331</v>
      </c>
      <c r="N8" s="197">
        <f>AvgMonthlyPop_YearlybyEthnicity[[#This Row],[2025]]/AvgMonthlyPop_YearlybyEthnicity[[#This Row],[2015]]-1</f>
        <v>-0.48544084707798818</v>
      </c>
      <c r="O8" s="197">
        <f>AvgMonthlyPop_YearlybyEthnicity[[#This Row],[2025]]/AvgMonthlyPop_YearlybyEthnicity[[#This Row],[2024]]-1</f>
        <v>-1.1732499022292009E-2</v>
      </c>
    </row>
    <row r="9" spans="1:15" x14ac:dyDescent="0.2">
      <c r="A9" s="256" t="s">
        <v>290</v>
      </c>
      <c r="B9" s="256" t="s">
        <v>65</v>
      </c>
      <c r="C9" s="198">
        <v>627.25</v>
      </c>
      <c r="D9" s="198">
        <v>556.41666666666663</v>
      </c>
      <c r="E9" s="198">
        <v>472.25</v>
      </c>
      <c r="F9" s="198">
        <v>485.08333333333331</v>
      </c>
      <c r="G9" s="198">
        <v>434.33333333333331</v>
      </c>
      <c r="H9" s="198">
        <v>374.16666666666669</v>
      </c>
      <c r="I9" s="198">
        <v>261.5</v>
      </c>
      <c r="J9" s="198">
        <v>214.16666666666666</v>
      </c>
      <c r="K9" s="198">
        <v>215.66666666666666</v>
      </c>
      <c r="L9" s="198">
        <v>207.91666666666666</v>
      </c>
      <c r="M9" s="198">
        <v>193.08333333333334</v>
      </c>
      <c r="N9" s="199">
        <f>AvgMonthlyPop_YearlybyEthnicity[[#This Row],[2025]]/AvgMonthlyPop_YearlybyEthnicity[[#This Row],[2015]]-1</f>
        <v>-0.69217483725255746</v>
      </c>
      <c r="O9" s="199">
        <f>AvgMonthlyPop_YearlybyEthnicity[[#This Row],[2025]]/AvgMonthlyPop_YearlybyEthnicity[[#This Row],[2024]]-1</f>
        <v>-7.1342685370741399E-2</v>
      </c>
    </row>
    <row r="10" spans="1:15" x14ac:dyDescent="0.2">
      <c r="A10" s="20" t="s">
        <v>290</v>
      </c>
      <c r="B10" s="20" t="s">
        <v>66</v>
      </c>
      <c r="C10" s="24">
        <v>0.83333333333333337</v>
      </c>
      <c r="D10" s="24">
        <v>5.166666666666667</v>
      </c>
      <c r="E10" s="24">
        <v>5.5</v>
      </c>
      <c r="F10" s="24">
        <v>6.25</v>
      </c>
      <c r="G10" s="24">
        <v>9.5</v>
      </c>
      <c r="H10" s="24">
        <v>13</v>
      </c>
      <c r="I10" s="24">
        <v>6.916666666666667</v>
      </c>
      <c r="J10" s="24">
        <v>8.5</v>
      </c>
      <c r="K10" s="24">
        <v>6.166666666666667</v>
      </c>
      <c r="L10" s="24">
        <v>8.75</v>
      </c>
      <c r="M10" s="24">
        <v>14</v>
      </c>
      <c r="N10" s="81">
        <f>AvgMonthlyPop_YearlybyEthnicity[[#This Row],[2025]]/AvgMonthlyPop_YearlybyEthnicity[[#This Row],[2015]]-1</f>
        <v>15.8</v>
      </c>
      <c r="O10" s="81">
        <f>AvgMonthlyPop_YearlybyEthnicity[[#This Row],[2025]]/AvgMonthlyPop_YearlybyEthnicity[[#This Row],[2024]]-1</f>
        <v>0.60000000000000009</v>
      </c>
    </row>
    <row r="11" spans="1:15" x14ac:dyDescent="0.2">
      <c r="A11" s="57" t="s">
        <v>290</v>
      </c>
      <c r="B11" s="57" t="s">
        <v>260</v>
      </c>
      <c r="C11" s="63">
        <f t="shared" ref="C11:L11" si="2">SUM(C8:C10)</f>
        <v>1037.3333333333333</v>
      </c>
      <c r="D11" s="63">
        <f t="shared" si="2"/>
        <v>960.24999999999989</v>
      </c>
      <c r="E11" s="63">
        <f t="shared" si="2"/>
        <v>867.91666666666674</v>
      </c>
      <c r="F11" s="63">
        <f t="shared" si="2"/>
        <v>894</v>
      </c>
      <c r="G11" s="63">
        <f t="shared" si="2"/>
        <v>858.91666666666663</v>
      </c>
      <c r="H11" s="63">
        <f t="shared" si="2"/>
        <v>781.08333333333326</v>
      </c>
      <c r="I11" s="63">
        <f t="shared" si="2"/>
        <v>560.41666666666663</v>
      </c>
      <c r="J11" s="63">
        <f t="shared" si="2"/>
        <v>454.25</v>
      </c>
      <c r="K11" s="63">
        <f t="shared" si="2"/>
        <v>441.33333333333331</v>
      </c>
      <c r="L11" s="63">
        <f t="shared" si="2"/>
        <v>429.75</v>
      </c>
      <c r="M11" s="63">
        <f>SUM(M8:M10)</f>
        <v>417.66666666666663</v>
      </c>
      <c r="N11" s="84">
        <f>AvgMonthlyPop_YearlybyEthnicity[[#This Row],[2025]]/AvgMonthlyPop_YearlybyEthnicity[[#This Row],[2015]]-1</f>
        <v>-0.59736503856041134</v>
      </c>
      <c r="O11" s="84">
        <f>AvgMonthlyPop_YearlybyEthnicity[[#This Row],[2025]]/AvgMonthlyPop_YearlybyEthnicity[[#This Row],[2024]]-1</f>
        <v>-2.8117122357960156E-2</v>
      </c>
    </row>
    <row r="12" spans="1:15" x14ac:dyDescent="0.2">
      <c r="A12" s="10" t="s">
        <v>291</v>
      </c>
      <c r="B12" s="10" t="s">
        <v>62</v>
      </c>
      <c r="C12" s="19">
        <f t="shared" ref="C12:L12" si="3">C5/SUM(C$8:C$9)</f>
        <v>8.6348287506029908E-2</v>
      </c>
      <c r="D12" s="19">
        <f t="shared" si="3"/>
        <v>0.10426664339935433</v>
      </c>
      <c r="E12" s="19">
        <f t="shared" si="3"/>
        <v>0.10387477050922793</v>
      </c>
      <c r="F12" s="19">
        <f t="shared" si="3"/>
        <v>9.3682530742513856E-2</v>
      </c>
      <c r="G12" s="19">
        <f t="shared" si="3"/>
        <v>8.9276954772883346E-2</v>
      </c>
      <c r="H12" s="19">
        <f t="shared" si="3"/>
        <v>0.10458934577411305</v>
      </c>
      <c r="I12" s="19">
        <f t="shared" si="3"/>
        <v>9.7560975609756101E-2</v>
      </c>
      <c r="J12" s="19">
        <f t="shared" si="3"/>
        <v>9.1605907646289036E-2</v>
      </c>
      <c r="K12" s="19">
        <f t="shared" si="3"/>
        <v>9.9578705476828816E-2</v>
      </c>
      <c r="L12" s="19">
        <f t="shared" si="3"/>
        <v>9.2042755344418054E-2</v>
      </c>
      <c r="M12" s="19">
        <f t="shared" ref="M12" si="4">M5/SUM(M$8:M$9)</f>
        <v>0.12407101568951281</v>
      </c>
      <c r="N12" s="86">
        <f>100*(AvgMonthlyPop_YearlybyEthnicity[[#This Row],[2025]]-AvgMonthlyPop_YearlybyEthnicity[[#This Row],[2015]])</f>
        <v>3.7722728183482905</v>
      </c>
      <c r="O12" s="86">
        <f>100*(AvgMonthlyPop_YearlybyEthnicity[[#This Row],[2025]]-AvgMonthlyPop_YearlybyEthnicity[[#This Row],[2024]])</f>
        <v>3.2028260345094761</v>
      </c>
    </row>
    <row r="13" spans="1:15" x14ac:dyDescent="0.2">
      <c r="A13" s="20" t="s">
        <v>291</v>
      </c>
      <c r="B13" s="20" t="s">
        <v>63</v>
      </c>
      <c r="C13" s="18">
        <f t="shared" ref="C13:L13" si="5">C6/SUM(C$8:C$9)</f>
        <v>0.21096639331082168</v>
      </c>
      <c r="D13" s="18">
        <f t="shared" si="5"/>
        <v>0.21437919902277289</v>
      </c>
      <c r="E13" s="18">
        <f t="shared" si="5"/>
        <v>0.23528843366508839</v>
      </c>
      <c r="F13" s="18">
        <f t="shared" si="5"/>
        <v>0.25485778653900309</v>
      </c>
      <c r="G13" s="18">
        <f t="shared" si="5"/>
        <v>0.28136956735014229</v>
      </c>
      <c r="H13" s="18">
        <f t="shared" si="5"/>
        <v>0.28154497124877947</v>
      </c>
      <c r="I13" s="18">
        <f t="shared" si="5"/>
        <v>0.29072568503462809</v>
      </c>
      <c r="J13" s="18">
        <f t="shared" si="5"/>
        <v>0.27780893624976633</v>
      </c>
      <c r="K13" s="18">
        <f t="shared" si="5"/>
        <v>0.25794714668709307</v>
      </c>
      <c r="L13" s="18">
        <f t="shared" si="5"/>
        <v>0.23673792557403009</v>
      </c>
      <c r="M13" s="18">
        <f t="shared" ref="M13" si="6">M6/SUM(M$8:M$9)</f>
        <v>0.21965317919075147</v>
      </c>
      <c r="N13" s="87">
        <f>100*(AvgMonthlyPop_YearlybyEthnicity[[#This Row],[2025]]-AvgMonthlyPop_YearlybyEthnicity[[#This Row],[2015]])</f>
        <v>0.86867858799297981</v>
      </c>
      <c r="O13" s="87">
        <f>100*(AvgMonthlyPop_YearlybyEthnicity[[#This Row],[2025]]-AvgMonthlyPop_YearlybyEthnicity[[#This Row],[2024]])</f>
        <v>-1.7084746383278615</v>
      </c>
    </row>
    <row r="14" spans="1:15" x14ac:dyDescent="0.2">
      <c r="A14" s="250" t="s">
        <v>291</v>
      </c>
      <c r="B14" s="250" t="s">
        <v>64</v>
      </c>
      <c r="C14" s="65">
        <f t="shared" ref="C14:L14" si="7">C7/SUM(C$8:C$9)</f>
        <v>9.7523717639491872E-2</v>
      </c>
      <c r="D14" s="65">
        <f t="shared" si="7"/>
        <v>9.8769740860308874E-2</v>
      </c>
      <c r="E14" s="65">
        <f t="shared" si="7"/>
        <v>0.1132476567784327</v>
      </c>
      <c r="F14" s="65">
        <f t="shared" si="7"/>
        <v>0.10504083356800901</v>
      </c>
      <c r="G14" s="65">
        <f t="shared" si="7"/>
        <v>0.11802217207887766</v>
      </c>
      <c r="H14" s="65">
        <f t="shared" si="7"/>
        <v>0.12672236085494196</v>
      </c>
      <c r="I14" s="65">
        <f t="shared" si="7"/>
        <v>0.13926528154170431</v>
      </c>
      <c r="J14" s="65">
        <f t="shared" si="7"/>
        <v>0.1501215180407553</v>
      </c>
      <c r="K14" s="65">
        <f t="shared" si="7"/>
        <v>0.14687859057832248</v>
      </c>
      <c r="L14" s="65">
        <f t="shared" si="7"/>
        <v>0.17735550277117973</v>
      </c>
      <c r="M14" s="65">
        <f t="shared" ref="M14:M17" si="8">M7/SUM(M$8:M$9)</f>
        <v>0.17795210569777045</v>
      </c>
      <c r="N14" s="201">
        <f>100*(AvgMonthlyPop_YearlybyEthnicity[[#This Row],[2025]]-AvgMonthlyPop_YearlybyEthnicity[[#This Row],[2015]])</f>
        <v>8.0428388058278575</v>
      </c>
      <c r="O14" s="201">
        <f>100*(AvgMonthlyPop_YearlybyEthnicity[[#This Row],[2025]]-AvgMonthlyPop_YearlybyEthnicity[[#This Row],[2024]])</f>
        <v>5.9660292659072245E-2</v>
      </c>
    </row>
    <row r="15" spans="1:15" x14ac:dyDescent="0.2">
      <c r="A15" s="255" t="s">
        <v>291</v>
      </c>
      <c r="B15" s="255" t="s">
        <v>188</v>
      </c>
      <c r="C15" s="202">
        <f t="shared" ref="C15:L15" si="9">C8/SUM(C$8:C$9)</f>
        <v>0.39483839845634339</v>
      </c>
      <c r="D15" s="202">
        <f t="shared" si="9"/>
        <v>0.41741558328243605</v>
      </c>
      <c r="E15" s="202">
        <f t="shared" si="9"/>
        <v>0.45241086095274902</v>
      </c>
      <c r="F15" s="202">
        <f t="shared" si="9"/>
        <v>0.45358115084952599</v>
      </c>
      <c r="G15" s="202">
        <f t="shared" si="9"/>
        <v>0.48866869420190329</v>
      </c>
      <c r="H15" s="202">
        <f t="shared" si="9"/>
        <v>0.5128566778778344</v>
      </c>
      <c r="I15" s="202">
        <f t="shared" si="9"/>
        <v>0.52755194218608847</v>
      </c>
      <c r="J15" s="202">
        <f t="shared" si="9"/>
        <v>0.51953636193681063</v>
      </c>
      <c r="K15" s="202">
        <f t="shared" si="9"/>
        <v>0.50440444274224439</v>
      </c>
      <c r="L15" s="202">
        <f t="shared" si="9"/>
        <v>0.50613618368962798</v>
      </c>
      <c r="M15" s="202">
        <f t="shared" si="8"/>
        <v>0.52167630057803471</v>
      </c>
      <c r="N15" s="203">
        <f>100*(AvgMonthlyPop_YearlybyEthnicity[[#This Row],[2025]]-AvgMonthlyPop_YearlybyEthnicity[[#This Row],[2015]])</f>
        <v>12.683790212169132</v>
      </c>
      <c r="O15" s="203">
        <f>100*(AvgMonthlyPop_YearlybyEthnicity[[#This Row],[2025]]-AvgMonthlyPop_YearlybyEthnicity[[#This Row],[2024]])</f>
        <v>1.554011688840673</v>
      </c>
    </row>
    <row r="16" spans="1:15" x14ac:dyDescent="0.2">
      <c r="A16" s="256" t="s">
        <v>291</v>
      </c>
      <c r="B16" s="256" t="s">
        <v>65</v>
      </c>
      <c r="C16" s="66">
        <f t="shared" ref="C16:L16" si="10">C9/SUM(C$8:C$9)</f>
        <v>0.6051616015436565</v>
      </c>
      <c r="D16" s="66">
        <f t="shared" si="10"/>
        <v>0.58258441671756389</v>
      </c>
      <c r="E16" s="66">
        <f t="shared" si="10"/>
        <v>0.54758913904725093</v>
      </c>
      <c r="F16" s="66">
        <f t="shared" si="10"/>
        <v>0.54641884915047401</v>
      </c>
      <c r="G16" s="66">
        <f t="shared" si="10"/>
        <v>0.51133130579809671</v>
      </c>
      <c r="H16" s="66">
        <f t="shared" si="10"/>
        <v>0.48714332212216566</v>
      </c>
      <c r="I16" s="66">
        <f t="shared" si="10"/>
        <v>0.47244805781391147</v>
      </c>
      <c r="J16" s="66">
        <f t="shared" si="10"/>
        <v>0.48046363806318937</v>
      </c>
      <c r="K16" s="66">
        <f t="shared" si="10"/>
        <v>0.49559555725775567</v>
      </c>
      <c r="L16" s="66">
        <f t="shared" si="10"/>
        <v>0.49386381631037213</v>
      </c>
      <c r="M16" s="66">
        <f>M9/SUM(M$8:M$9)</f>
        <v>0.4783236994219654</v>
      </c>
      <c r="N16" s="204">
        <f>100*(AvgMonthlyPop_YearlybyEthnicity[[#This Row],[2025]]-AvgMonthlyPop_YearlybyEthnicity[[#This Row],[2015]])</f>
        <v>-12.683790212169111</v>
      </c>
      <c r="O16" s="204">
        <f>100*(AvgMonthlyPop_YearlybyEthnicity[[#This Row],[2025]]-AvgMonthlyPop_YearlybyEthnicity[[#This Row],[2024]])</f>
        <v>-1.554011688840673</v>
      </c>
    </row>
    <row r="17" spans="1:15" x14ac:dyDescent="0.2">
      <c r="A17" s="57" t="s">
        <v>291</v>
      </c>
      <c r="B17" s="57" t="s">
        <v>66</v>
      </c>
      <c r="C17" s="49">
        <f t="shared" ref="C17:L17" si="11">C10/SUM(C$8:C$9)</f>
        <v>8.0398777938575335E-4</v>
      </c>
      <c r="D17" s="49">
        <f t="shared" si="11"/>
        <v>5.4096501177907695E-3</v>
      </c>
      <c r="E17" s="49">
        <f t="shared" si="11"/>
        <v>6.3774277707991101E-3</v>
      </c>
      <c r="F17" s="49">
        <f t="shared" si="11"/>
        <v>7.0402703463813008E-3</v>
      </c>
      <c r="G17" s="49">
        <f t="shared" si="11"/>
        <v>1.1184145982537036E-2</v>
      </c>
      <c r="H17" s="49">
        <f t="shared" si="11"/>
        <v>1.6925246826516221E-2</v>
      </c>
      <c r="I17" s="49">
        <f t="shared" si="11"/>
        <v>1.2496236073471846E-2</v>
      </c>
      <c r="J17" s="49">
        <f t="shared" si="11"/>
        <v>1.9068984856982614E-2</v>
      </c>
      <c r="K17" s="49">
        <f t="shared" si="11"/>
        <v>1.417081577939487E-2</v>
      </c>
      <c r="L17" s="49">
        <f t="shared" si="11"/>
        <v>2.0783847980997625E-2</v>
      </c>
      <c r="M17" s="49">
        <f t="shared" si="8"/>
        <v>3.4682080924855495E-2</v>
      </c>
      <c r="N17" s="89">
        <f>100*(AvgMonthlyPop_YearlybyEthnicity[[#This Row],[2025]]-AvgMonthlyPop_YearlybyEthnicity[[#This Row],[2015]])</f>
        <v>3.3878093145469736</v>
      </c>
      <c r="O17" s="89">
        <f>100*(AvgMonthlyPop_YearlybyEthnicity[[#This Row],[2025]]-AvgMonthlyPop_YearlybyEthnicity[[#This Row],[2024]])</f>
        <v>1.3898232943857871</v>
      </c>
    </row>
  </sheetData>
  <phoneticPr fontId="19" type="noConversion"/>
  <pageMargins left="0.7" right="0.7" top="0.75" bottom="0.75" header="0.3" footer="0.3"/>
  <pageSetup paperSize="9" orientation="portrait" r:id="rId1"/>
  <ignoredErrors>
    <ignoredError sqref="N5:N17 O5:O17" unlockedFormula="1"/>
  </ignoredErrors>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5728C7-8FA7-4C99-A7CD-5B1CF2B25568}">
  <sheetPr codeName="Sheet11"/>
  <dimension ref="A1:O37"/>
  <sheetViews>
    <sheetView zoomScaleNormal="100" workbookViewId="0"/>
  </sheetViews>
  <sheetFormatPr defaultColWidth="8.6640625" defaultRowHeight="15" x14ac:dyDescent="0.2"/>
  <cols>
    <col min="1" max="1" width="18.6640625" bestFit="1" customWidth="1"/>
    <col min="2" max="2" width="22.6640625" bestFit="1" customWidth="1"/>
    <col min="14" max="15" width="11.6640625" customWidth="1"/>
  </cols>
  <sheetData>
    <row r="1" spans="1:15" ht="15.75" x14ac:dyDescent="0.2">
      <c r="A1" s="38" t="s">
        <v>292</v>
      </c>
      <c r="B1" s="38"/>
      <c r="C1" s="12"/>
      <c r="D1" s="12"/>
      <c r="E1" s="12"/>
      <c r="F1" s="12"/>
      <c r="G1" s="12"/>
      <c r="H1" s="12"/>
      <c r="I1" s="12"/>
      <c r="J1" s="12"/>
      <c r="K1" s="12"/>
      <c r="L1" s="12"/>
      <c r="M1" s="12"/>
      <c r="N1" s="12"/>
      <c r="O1" s="12"/>
    </row>
    <row r="2" spans="1:15" x14ac:dyDescent="0.2">
      <c r="A2" s="39" t="s">
        <v>121</v>
      </c>
      <c r="B2" s="39"/>
      <c r="C2" s="12"/>
      <c r="D2" s="12"/>
      <c r="E2" s="12"/>
      <c r="F2" s="12"/>
      <c r="G2" s="12"/>
      <c r="H2" s="12"/>
      <c r="I2" s="12"/>
      <c r="J2" s="12"/>
      <c r="K2" s="12"/>
      <c r="L2" s="12"/>
      <c r="M2" s="12"/>
      <c r="N2" s="12"/>
      <c r="O2" s="12"/>
    </row>
    <row r="3" spans="1:15" x14ac:dyDescent="0.2">
      <c r="A3" s="4" t="s">
        <v>276</v>
      </c>
      <c r="B3" s="4"/>
      <c r="C3" s="12"/>
      <c r="D3" s="12"/>
      <c r="E3" s="12"/>
      <c r="F3" s="12"/>
      <c r="G3" s="12"/>
      <c r="H3" s="12"/>
      <c r="I3" s="12"/>
      <c r="J3" s="12"/>
      <c r="K3" s="12"/>
      <c r="L3" s="12"/>
      <c r="M3" s="12"/>
      <c r="N3" s="12"/>
      <c r="O3" s="12"/>
    </row>
    <row r="4" spans="1:15" x14ac:dyDescent="0.2">
      <c r="A4" s="4" t="s">
        <v>347</v>
      </c>
      <c r="B4" s="4"/>
      <c r="C4" s="12"/>
      <c r="D4" s="51"/>
      <c r="E4" s="51"/>
      <c r="F4" s="51"/>
      <c r="G4" s="51"/>
      <c r="H4" s="51"/>
      <c r="I4" s="51"/>
      <c r="J4" s="51"/>
      <c r="K4" s="51"/>
      <c r="L4" s="51"/>
      <c r="M4" s="51"/>
      <c r="N4" s="51"/>
      <c r="O4" s="51" t="s">
        <v>35</v>
      </c>
    </row>
    <row r="5" spans="1:15" ht="38.25" x14ac:dyDescent="0.2">
      <c r="A5" s="52" t="s">
        <v>160</v>
      </c>
      <c r="B5" s="52" t="s">
        <v>293</v>
      </c>
      <c r="C5" s="50" t="s">
        <v>113</v>
      </c>
      <c r="D5" s="50" t="s">
        <v>114</v>
      </c>
      <c r="E5" s="50" t="s">
        <v>115</v>
      </c>
      <c r="F5" s="50" t="s">
        <v>116</v>
      </c>
      <c r="G5" s="50" t="s">
        <v>117</v>
      </c>
      <c r="H5" s="50" t="s">
        <v>118</v>
      </c>
      <c r="I5" s="50" t="s">
        <v>119</v>
      </c>
      <c r="J5" s="50" t="s">
        <v>120</v>
      </c>
      <c r="K5" s="50" t="s">
        <v>164</v>
      </c>
      <c r="L5" s="50" t="s">
        <v>187</v>
      </c>
      <c r="M5" s="50" t="s">
        <v>236</v>
      </c>
      <c r="N5" s="58" t="s">
        <v>238</v>
      </c>
      <c r="O5" s="58" t="s">
        <v>239</v>
      </c>
    </row>
    <row r="6" spans="1:15" x14ac:dyDescent="0.2">
      <c r="A6" s="20" t="s">
        <v>144</v>
      </c>
      <c r="B6" s="20" t="s">
        <v>123</v>
      </c>
      <c r="C6" s="5">
        <v>23.083333333333332</v>
      </c>
      <c r="D6" s="5">
        <v>27.833333333333332</v>
      </c>
      <c r="E6" s="5">
        <v>17.833333333333332</v>
      </c>
      <c r="F6" s="5">
        <v>25.416666666666668</v>
      </c>
      <c r="G6" s="5">
        <v>21.916666666666668</v>
      </c>
      <c r="H6" s="5">
        <v>20.666666666666668</v>
      </c>
      <c r="I6" s="5">
        <v>25.75</v>
      </c>
      <c r="J6" s="5">
        <v>22.083333333333332</v>
      </c>
      <c r="K6" s="5">
        <v>23.5</v>
      </c>
      <c r="L6" s="5">
        <v>23.5</v>
      </c>
      <c r="M6" s="5">
        <v>27.75</v>
      </c>
      <c r="N6" s="53">
        <f>AvgMonthlyPop_YearlybyLegalBasis_Ethnicity[[#This Row],[2025]]/AvgMonthlyPop_YearlybyLegalBasis_Ethnicity[[#This Row],[2015]]-1</f>
        <v>0.20216606498194944</v>
      </c>
      <c r="O6" s="53">
        <f>AvgMonthlyPop_YearlybyLegalBasis_Ethnicity[[#This Row],[2025]]/AvgMonthlyPop_YearlybyLegalBasis_Ethnicity[[#This Row],[2024]]-1</f>
        <v>0.18085106382978733</v>
      </c>
    </row>
    <row r="7" spans="1:15" x14ac:dyDescent="0.2">
      <c r="A7" s="20" t="s">
        <v>144</v>
      </c>
      <c r="B7" s="20" t="s">
        <v>124</v>
      </c>
      <c r="C7" s="5">
        <v>70.583333333333329</v>
      </c>
      <c r="D7" s="5">
        <v>55.666666666666664</v>
      </c>
      <c r="E7" s="5">
        <v>60.916666666666664</v>
      </c>
      <c r="F7" s="5">
        <v>70.916666666666671</v>
      </c>
      <c r="G7" s="5">
        <v>77.75</v>
      </c>
      <c r="H7" s="5">
        <v>81.916666666666671</v>
      </c>
      <c r="I7" s="5">
        <v>76</v>
      </c>
      <c r="J7" s="5">
        <v>62.416666666666664</v>
      </c>
      <c r="K7" s="5">
        <v>61.916666666666664</v>
      </c>
      <c r="L7" s="5">
        <v>48.833333333333336</v>
      </c>
      <c r="M7" s="5">
        <v>49.166666666666664</v>
      </c>
      <c r="N7" s="53">
        <f>AvgMonthlyPop_YearlybyLegalBasis_Ethnicity[[#This Row],[2025]]/AvgMonthlyPop_YearlybyLegalBasis_Ethnicity[[#This Row],[2015]]-1</f>
        <v>-0.30342384887839435</v>
      </c>
      <c r="O7" s="53">
        <f>AvgMonthlyPop_YearlybyLegalBasis_Ethnicity[[#This Row],[2025]]/AvgMonthlyPop_YearlybyLegalBasis_Ethnicity[[#This Row],[2024]]-1</f>
        <v>6.8259385665527805E-3</v>
      </c>
    </row>
    <row r="8" spans="1:15" x14ac:dyDescent="0.2">
      <c r="A8" s="20" t="s">
        <v>144</v>
      </c>
      <c r="B8" s="20" t="s">
        <v>125</v>
      </c>
      <c r="C8" s="5">
        <v>29.666666666666668</v>
      </c>
      <c r="D8" s="5">
        <v>20.666666666666668</v>
      </c>
      <c r="E8" s="5">
        <v>19.416666666666668</v>
      </c>
      <c r="F8" s="5">
        <v>25</v>
      </c>
      <c r="G8" s="5">
        <v>35.416666666666664</v>
      </c>
      <c r="H8" s="5">
        <v>32.583333333333336</v>
      </c>
      <c r="I8" s="5">
        <v>30.083333333333332</v>
      </c>
      <c r="J8" s="5">
        <v>30.666666666666668</v>
      </c>
      <c r="K8" s="5">
        <v>30.583333333333332</v>
      </c>
      <c r="L8" s="5">
        <v>33</v>
      </c>
      <c r="M8" s="5">
        <v>30.583333333333332</v>
      </c>
      <c r="N8" s="53">
        <f>AvgMonthlyPop_YearlybyLegalBasis_Ethnicity[[#This Row],[2025]]/AvgMonthlyPop_YearlybyLegalBasis_Ethnicity[[#This Row],[2015]]-1</f>
        <v>3.0898876404494402E-2</v>
      </c>
      <c r="O8" s="53">
        <f>AvgMonthlyPop_YearlybyLegalBasis_Ethnicity[[#This Row],[2025]]/AvgMonthlyPop_YearlybyLegalBasis_Ethnicity[[#This Row],[2024]]-1</f>
        <v>-7.3232323232323315E-2</v>
      </c>
    </row>
    <row r="9" spans="1:15" x14ac:dyDescent="0.2">
      <c r="A9" s="20" t="s">
        <v>144</v>
      </c>
      <c r="B9" s="20" t="s">
        <v>126</v>
      </c>
      <c r="C9" s="5">
        <v>116.08333333333333</v>
      </c>
      <c r="D9" s="5">
        <v>106.66666666666667</v>
      </c>
      <c r="E9" s="5">
        <v>83.416666666666671</v>
      </c>
      <c r="F9" s="5">
        <v>93.916666666666671</v>
      </c>
      <c r="G9" s="5">
        <v>103.16666666666667</v>
      </c>
      <c r="H9" s="5">
        <v>98.416666666666671</v>
      </c>
      <c r="I9" s="5">
        <v>88.5</v>
      </c>
      <c r="J9" s="5">
        <v>85</v>
      </c>
      <c r="K9" s="5">
        <v>73.916666666666671</v>
      </c>
      <c r="L9" s="5">
        <v>72.916666666666671</v>
      </c>
      <c r="M9" s="5">
        <v>65.75</v>
      </c>
      <c r="N9" s="53">
        <f>AvgMonthlyPop_YearlybyLegalBasis_Ethnicity[[#This Row],[2025]]/AvgMonthlyPop_YearlybyLegalBasis_Ethnicity[[#This Row],[2015]]-1</f>
        <v>-0.43359655419956922</v>
      </c>
      <c r="O9" s="53">
        <f>AvgMonthlyPop_YearlybyLegalBasis_Ethnicity[[#This Row],[2025]]/AvgMonthlyPop_YearlybyLegalBasis_Ethnicity[[#This Row],[2024]]-1</f>
        <v>-9.828571428571431E-2</v>
      </c>
    </row>
    <row r="10" spans="1:15" x14ac:dyDescent="0.2">
      <c r="A10" s="10" t="s">
        <v>144</v>
      </c>
      <c r="B10" s="10" t="s">
        <v>127</v>
      </c>
      <c r="C10" s="67">
        <v>44.666666666666664</v>
      </c>
      <c r="D10" s="67">
        <v>39.833333333333336</v>
      </c>
      <c r="E10" s="67">
        <v>33.916666666666664</v>
      </c>
      <c r="F10" s="67">
        <v>28.166666666666668</v>
      </c>
      <c r="G10" s="67">
        <v>16</v>
      </c>
      <c r="H10" s="67">
        <v>23.25</v>
      </c>
      <c r="I10" s="67">
        <v>12.583333333333334</v>
      </c>
      <c r="J10" s="67">
        <v>7.333333333333333</v>
      </c>
      <c r="K10" s="67">
        <v>11.333333333333334</v>
      </c>
      <c r="L10" s="67">
        <v>5.916666666666667</v>
      </c>
      <c r="M10" s="67">
        <v>7.666666666666667</v>
      </c>
      <c r="N10" s="210">
        <f>AvgMonthlyPop_YearlybyLegalBasis_Ethnicity[[#This Row],[2025]]/AvgMonthlyPop_YearlybyLegalBasis_Ethnicity[[#This Row],[2015]]-1</f>
        <v>-0.82835820895522383</v>
      </c>
      <c r="O10" s="210">
        <f>AvgMonthlyPop_YearlybyLegalBasis_Ethnicity[[#This Row],[2025]]/AvgMonthlyPop_YearlybyLegalBasis_Ethnicity[[#This Row],[2024]]-1</f>
        <v>0.29577464788732399</v>
      </c>
    </row>
    <row r="11" spans="1:15" x14ac:dyDescent="0.2">
      <c r="A11" s="20" t="s">
        <v>144</v>
      </c>
      <c r="B11" s="20" t="s">
        <v>130</v>
      </c>
      <c r="C11" s="5">
        <v>89.25</v>
      </c>
      <c r="D11" s="5">
        <v>85.75</v>
      </c>
      <c r="E11" s="5">
        <v>83.25</v>
      </c>
      <c r="F11" s="5">
        <v>78</v>
      </c>
      <c r="G11" s="5">
        <v>72.583333333333329</v>
      </c>
      <c r="H11" s="5">
        <v>62.25</v>
      </c>
      <c r="I11" s="5">
        <v>34.083333333333336</v>
      </c>
      <c r="J11" s="5">
        <v>24.5</v>
      </c>
      <c r="K11" s="5">
        <v>18</v>
      </c>
      <c r="L11" s="5">
        <v>21.333333333333332</v>
      </c>
      <c r="M11" s="5">
        <v>15.166666666666666</v>
      </c>
      <c r="N11" s="53">
        <f>AvgMonthlyPop_YearlybyLegalBasis_Ethnicity[[#This Row],[2025]]/AvgMonthlyPop_YearlybyLegalBasis_Ethnicity[[#This Row],[2015]]-1</f>
        <v>-0.83006535947712412</v>
      </c>
      <c r="O11" s="53">
        <f>AvgMonthlyPop_YearlybyLegalBasis_Ethnicity[[#This Row],[2025]]/AvgMonthlyPop_YearlybyLegalBasis_Ethnicity[[#This Row],[2024]]-1</f>
        <v>-0.2890625</v>
      </c>
    </row>
    <row r="12" spans="1:15" x14ac:dyDescent="0.2">
      <c r="A12" s="20" t="s">
        <v>144</v>
      </c>
      <c r="B12" s="20" t="s">
        <v>128</v>
      </c>
      <c r="C12" s="5">
        <v>47</v>
      </c>
      <c r="D12" s="5">
        <v>47.666666666666664</v>
      </c>
      <c r="E12" s="5">
        <v>46.416666666666664</v>
      </c>
      <c r="F12" s="5">
        <v>37.5</v>
      </c>
      <c r="G12" s="5">
        <v>28.166666666666668</v>
      </c>
      <c r="H12" s="5">
        <v>29</v>
      </c>
      <c r="I12" s="5">
        <v>19.75</v>
      </c>
      <c r="J12" s="5">
        <v>12</v>
      </c>
      <c r="K12" s="5">
        <v>11.583333333333334</v>
      </c>
      <c r="L12" s="5">
        <v>17.25</v>
      </c>
      <c r="M12" s="5">
        <v>12.833333333333334</v>
      </c>
      <c r="N12" s="53">
        <f>AvgMonthlyPop_YearlybyLegalBasis_Ethnicity[[#This Row],[2025]]/AvgMonthlyPop_YearlybyLegalBasis_Ethnicity[[#This Row],[2015]]-1</f>
        <v>-0.72695035460992907</v>
      </c>
      <c r="O12" s="53">
        <f>AvgMonthlyPop_YearlybyLegalBasis_Ethnicity[[#This Row],[2025]]/AvgMonthlyPop_YearlybyLegalBasis_Ethnicity[[#This Row],[2024]]-1</f>
        <v>-0.25603864734299508</v>
      </c>
    </row>
    <row r="13" spans="1:15" x14ac:dyDescent="0.2">
      <c r="A13" s="20" t="s">
        <v>144</v>
      </c>
      <c r="B13" s="20" t="s">
        <v>129</v>
      </c>
      <c r="C13" s="5">
        <v>373.66666666666669</v>
      </c>
      <c r="D13" s="5">
        <v>323.5</v>
      </c>
      <c r="E13" s="5">
        <v>262.33333333333331</v>
      </c>
      <c r="F13" s="5">
        <v>256.83333333333331</v>
      </c>
      <c r="G13" s="5">
        <v>196.5</v>
      </c>
      <c r="H13" s="5">
        <v>153.41666666666666</v>
      </c>
      <c r="I13" s="5">
        <v>90</v>
      </c>
      <c r="J13" s="5">
        <v>60.166666666666664</v>
      </c>
      <c r="K13" s="5">
        <v>64.166666666666671</v>
      </c>
      <c r="L13" s="5">
        <v>61</v>
      </c>
      <c r="M13" s="5">
        <v>59</v>
      </c>
      <c r="N13" s="53">
        <f>AvgMonthlyPop_YearlybyLegalBasis_Ethnicity[[#This Row],[2025]]/AvgMonthlyPop_YearlybyLegalBasis_Ethnicity[[#This Row],[2015]]-1</f>
        <v>-0.84210526315789469</v>
      </c>
      <c r="O13" s="53">
        <f>AvgMonthlyPop_YearlybyLegalBasis_Ethnicity[[#This Row],[2025]]/AvgMonthlyPop_YearlybyLegalBasis_Ethnicity[[#This Row],[2024]]-1</f>
        <v>-3.2786885245901676E-2</v>
      </c>
    </row>
    <row r="14" spans="1:15" x14ac:dyDescent="0.2">
      <c r="A14" s="10" t="s">
        <v>144</v>
      </c>
      <c r="B14" s="10" t="s">
        <v>165</v>
      </c>
      <c r="C14" s="67">
        <v>18.166666666666668</v>
      </c>
      <c r="D14" s="67">
        <v>26.5</v>
      </c>
      <c r="E14" s="67">
        <v>30.083333333333332</v>
      </c>
      <c r="F14" s="67">
        <v>24.083333333333332</v>
      </c>
      <c r="G14" s="67">
        <v>36.25</v>
      </c>
      <c r="H14" s="67">
        <v>33.666666666666664</v>
      </c>
      <c r="I14" s="67">
        <v>14.583333333333334</v>
      </c>
      <c r="J14" s="67">
        <v>9.75</v>
      </c>
      <c r="K14" s="67">
        <v>5.583333333333333</v>
      </c>
      <c r="L14" s="67">
        <v>5.083333333333333</v>
      </c>
      <c r="M14" s="67">
        <v>7.583333333333333</v>
      </c>
      <c r="N14" s="210">
        <f>AvgMonthlyPop_YearlybyLegalBasis_Ethnicity[[#This Row],[2025]]/AvgMonthlyPop_YearlybyLegalBasis_Ethnicity[[#This Row],[2015]]-1</f>
        <v>-0.5825688073394496</v>
      </c>
      <c r="O14" s="210">
        <f>AvgMonthlyPop_YearlybyLegalBasis_Ethnicity[[#This Row],[2025]]/AvgMonthlyPop_YearlybyLegalBasis_Ethnicity[[#This Row],[2024]]-1</f>
        <v>0.49180327868852469</v>
      </c>
    </row>
    <row r="15" spans="1:15" x14ac:dyDescent="0.2">
      <c r="A15" s="20" t="s">
        <v>144</v>
      </c>
      <c r="B15" s="20" t="s">
        <v>166</v>
      </c>
      <c r="C15" s="5">
        <v>47.916666666666664</v>
      </c>
      <c r="D15" s="5">
        <v>52.666666666666664</v>
      </c>
      <c r="E15" s="5">
        <v>47.666666666666664</v>
      </c>
      <c r="F15" s="5">
        <v>62</v>
      </c>
      <c r="G15" s="5">
        <v>63.75</v>
      </c>
      <c r="H15" s="5">
        <v>46.833333333333336</v>
      </c>
      <c r="I15" s="5">
        <v>29.916666666666668</v>
      </c>
      <c r="J15" s="5">
        <v>25.083333333333332</v>
      </c>
      <c r="K15" s="5">
        <v>20.583333333333332</v>
      </c>
      <c r="L15" s="5">
        <v>16.166666666666668</v>
      </c>
      <c r="M15" s="5">
        <v>11.333333333333334</v>
      </c>
      <c r="N15" s="53">
        <f>AvgMonthlyPop_YearlybyLegalBasis_Ethnicity[[#This Row],[2025]]/AvgMonthlyPop_YearlybyLegalBasis_Ethnicity[[#This Row],[2015]]-1</f>
        <v>-0.76347826086956516</v>
      </c>
      <c r="O15" s="53">
        <f>AvgMonthlyPop_YearlybyLegalBasis_Ethnicity[[#This Row],[2025]]/AvgMonthlyPop_YearlybyLegalBasis_Ethnicity[[#This Row],[2024]]-1</f>
        <v>-0.2989690721649485</v>
      </c>
    </row>
    <row r="16" spans="1:15" x14ac:dyDescent="0.2">
      <c r="A16" s="20" t="s">
        <v>144</v>
      </c>
      <c r="B16" s="20" t="s">
        <v>167</v>
      </c>
      <c r="C16" s="5">
        <v>22.333333333333332</v>
      </c>
      <c r="D16" s="5">
        <v>20.25</v>
      </c>
      <c r="E16" s="5">
        <v>26.083333333333332</v>
      </c>
      <c r="F16" s="5">
        <v>25.833333333333332</v>
      </c>
      <c r="G16" s="5">
        <v>30.083333333333332</v>
      </c>
      <c r="H16" s="5">
        <v>28.583333333333332</v>
      </c>
      <c r="I16" s="5">
        <v>20.916666666666668</v>
      </c>
      <c r="J16" s="5">
        <v>19.916666666666668</v>
      </c>
      <c r="K16" s="5">
        <v>16.583333333333332</v>
      </c>
      <c r="L16" s="5">
        <v>16.5</v>
      </c>
      <c r="M16" s="5">
        <v>12.416666666666666</v>
      </c>
      <c r="N16" s="53">
        <f>AvgMonthlyPop_YearlybyLegalBasis_Ethnicity[[#This Row],[2025]]/AvgMonthlyPop_YearlybyLegalBasis_Ethnicity[[#This Row],[2015]]-1</f>
        <v>-0.44402985074626866</v>
      </c>
      <c r="O16" s="53">
        <f>AvgMonthlyPop_YearlybyLegalBasis_Ethnicity[[#This Row],[2025]]/AvgMonthlyPop_YearlybyLegalBasis_Ethnicity[[#This Row],[2024]]-1</f>
        <v>-0.24747474747474751</v>
      </c>
    </row>
    <row r="17" spans="1:15" x14ac:dyDescent="0.2">
      <c r="A17" s="20" t="s">
        <v>144</v>
      </c>
      <c r="B17" s="20" t="s">
        <v>168</v>
      </c>
      <c r="C17" s="5">
        <v>112.66666666666667</v>
      </c>
      <c r="D17" s="5">
        <v>105.33333333333333</v>
      </c>
      <c r="E17" s="5">
        <v>105</v>
      </c>
      <c r="F17" s="5">
        <v>110.91666666666667</v>
      </c>
      <c r="G17" s="5">
        <v>111.33333333333333</v>
      </c>
      <c r="H17" s="5">
        <v>104.75</v>
      </c>
      <c r="I17" s="5">
        <v>67</v>
      </c>
      <c r="J17" s="5">
        <v>55.083333333333336</v>
      </c>
      <c r="K17" s="5">
        <v>47.916666666666664</v>
      </c>
      <c r="L17" s="5">
        <v>39.166666666666664</v>
      </c>
      <c r="M17" s="5">
        <v>37.166666666666664</v>
      </c>
      <c r="N17" s="53">
        <f>AvgMonthlyPop_YearlybyLegalBasis_Ethnicity[[#This Row],[2025]]/AvgMonthlyPop_YearlybyLegalBasis_Ethnicity[[#This Row],[2015]]-1</f>
        <v>-0.67011834319526631</v>
      </c>
      <c r="O17" s="53">
        <f>AvgMonthlyPop_YearlybyLegalBasis_Ethnicity[[#This Row],[2025]]/AvgMonthlyPop_YearlybyLegalBasis_Ethnicity[[#This Row],[2024]]-1</f>
        <v>-5.1063829787234005E-2</v>
      </c>
    </row>
    <row r="18" spans="1:15" x14ac:dyDescent="0.2">
      <c r="A18" s="10" t="s">
        <v>144</v>
      </c>
      <c r="B18" s="10" t="s">
        <v>268</v>
      </c>
      <c r="C18" s="67">
        <v>3.5833333333333335</v>
      </c>
      <c r="D18" s="67">
        <v>5.416666666666667</v>
      </c>
      <c r="E18" s="67">
        <v>7.75</v>
      </c>
      <c r="F18" s="67">
        <v>5.5</v>
      </c>
      <c r="G18" s="67">
        <v>1.6666666666666667</v>
      </c>
      <c r="H18" s="67">
        <v>2.75</v>
      </c>
      <c r="I18" s="67">
        <v>1.0833333333333333</v>
      </c>
      <c r="J18" s="67">
        <v>1.6666666666666667</v>
      </c>
      <c r="K18" s="67">
        <v>2.9166666666666665</v>
      </c>
      <c r="L18" s="67">
        <v>4.25</v>
      </c>
      <c r="M18" s="67">
        <v>7.083333333333333</v>
      </c>
      <c r="N18" s="210">
        <f>AvgMonthlyPop_YearlybyLegalBasis_Ethnicity[[#This Row],[2025]]/AvgMonthlyPop_YearlybyLegalBasis_Ethnicity[[#This Row],[2015]]-1</f>
        <v>0.97674418604651136</v>
      </c>
      <c r="O18" s="210">
        <f>AvgMonthlyPop_YearlybyLegalBasis_Ethnicity[[#This Row],[2025]]/AvgMonthlyPop_YearlybyLegalBasis_Ethnicity[[#This Row],[2024]]-1</f>
        <v>0.66666666666666652</v>
      </c>
    </row>
    <row r="19" spans="1:15" x14ac:dyDescent="0.2">
      <c r="A19" s="20" t="s">
        <v>144</v>
      </c>
      <c r="B19" s="20" t="s">
        <v>269</v>
      </c>
      <c r="C19" s="5">
        <v>10.916666666666666</v>
      </c>
      <c r="D19" s="5">
        <v>10.666666666666666</v>
      </c>
      <c r="E19" s="5">
        <v>11.083333333333334</v>
      </c>
      <c r="F19" s="5">
        <v>15.333333333333334</v>
      </c>
      <c r="G19" s="5">
        <v>24.916666666666668</v>
      </c>
      <c r="H19" s="5">
        <v>25.25</v>
      </c>
      <c r="I19" s="5">
        <v>20.916666666666668</v>
      </c>
      <c r="J19" s="5">
        <v>11.833333333333334</v>
      </c>
      <c r="K19" s="5">
        <v>11.75</v>
      </c>
      <c r="L19" s="5">
        <v>13.333333333333334</v>
      </c>
      <c r="M19" s="5">
        <v>13</v>
      </c>
      <c r="N19" s="53">
        <f>AvgMonthlyPop_YearlybyLegalBasis_Ethnicity[[#This Row],[2025]]/AvgMonthlyPop_YearlybyLegalBasis_Ethnicity[[#This Row],[2015]]-1</f>
        <v>0.19083969465648853</v>
      </c>
      <c r="O19" s="53">
        <f>AvgMonthlyPop_YearlybyLegalBasis_Ethnicity[[#This Row],[2025]]/AvgMonthlyPop_YearlybyLegalBasis_Ethnicity[[#This Row],[2024]]-1</f>
        <v>-2.5000000000000022E-2</v>
      </c>
    </row>
    <row r="20" spans="1:15" x14ac:dyDescent="0.2">
      <c r="A20" s="20" t="s">
        <v>144</v>
      </c>
      <c r="B20" s="20" t="s">
        <v>270</v>
      </c>
      <c r="C20" s="5">
        <v>2.0833333333333335</v>
      </c>
      <c r="D20" s="5">
        <v>5.75</v>
      </c>
      <c r="E20" s="5">
        <v>5.75</v>
      </c>
      <c r="F20" s="5">
        <v>4.916666666666667</v>
      </c>
      <c r="G20" s="5">
        <v>6.583333333333333</v>
      </c>
      <c r="H20" s="5">
        <v>7.166666666666667</v>
      </c>
      <c r="I20" s="5">
        <v>6.333333333333333</v>
      </c>
      <c r="J20" s="5">
        <v>4.333333333333333</v>
      </c>
      <c r="K20" s="5">
        <v>5.166666666666667</v>
      </c>
      <c r="L20" s="5">
        <v>7.916666666666667</v>
      </c>
      <c r="M20" s="5">
        <v>16</v>
      </c>
      <c r="N20" s="53">
        <f>AvgMonthlyPop_YearlybyLegalBasis_Ethnicity[[#This Row],[2025]]/AvgMonthlyPop_YearlybyLegalBasis_Ethnicity[[#This Row],[2015]]-1</f>
        <v>6.68</v>
      </c>
      <c r="O20" s="53">
        <f>AvgMonthlyPop_YearlybyLegalBasis_Ethnicity[[#This Row],[2025]]/AvgMonthlyPop_YearlybyLegalBasis_Ethnicity[[#This Row],[2024]]-1</f>
        <v>1.0210526315789474</v>
      </c>
    </row>
    <row r="21" spans="1:15" x14ac:dyDescent="0.2">
      <c r="A21" s="42" t="s">
        <v>144</v>
      </c>
      <c r="B21" s="42" t="s">
        <v>271</v>
      </c>
      <c r="C21" s="54">
        <v>24.833333333333332</v>
      </c>
      <c r="D21" s="54">
        <v>20.916666666666668</v>
      </c>
      <c r="E21" s="54">
        <v>21.5</v>
      </c>
      <c r="F21" s="54">
        <v>23.416666666666668</v>
      </c>
      <c r="G21" s="54">
        <v>23.333333333333332</v>
      </c>
      <c r="H21" s="54">
        <v>17.583333333333332</v>
      </c>
      <c r="I21" s="54">
        <v>16</v>
      </c>
      <c r="J21" s="54">
        <v>13.916666666666666</v>
      </c>
      <c r="K21" s="54">
        <v>29.666666666666668</v>
      </c>
      <c r="L21" s="54">
        <v>34.833333333333336</v>
      </c>
      <c r="M21" s="54">
        <v>31.166666666666668</v>
      </c>
      <c r="N21" s="49">
        <f>AvgMonthlyPop_YearlybyLegalBasis_Ethnicity[[#This Row],[2025]]/AvgMonthlyPop_YearlybyLegalBasis_Ethnicity[[#This Row],[2015]]-1</f>
        <v>0.25503355704697994</v>
      </c>
      <c r="O21" s="49">
        <f>AvgMonthlyPop_YearlybyLegalBasis_Ethnicity[[#This Row],[2025]]/AvgMonthlyPop_YearlybyLegalBasis_Ethnicity[[#This Row],[2024]]-1</f>
        <v>-0.10526315789473684</v>
      </c>
    </row>
    <row r="22" spans="1:15" x14ac:dyDescent="0.2">
      <c r="A22" s="10" t="s">
        <v>259</v>
      </c>
      <c r="B22" s="10" t="s">
        <v>123</v>
      </c>
      <c r="C22" s="19">
        <f t="shared" ref="C22:L22" si="0">C6/SUM(C$6:C$9)</f>
        <v>9.6414897319874696E-2</v>
      </c>
      <c r="D22" s="19">
        <f t="shared" si="0"/>
        <v>0.13201581027667983</v>
      </c>
      <c r="E22" s="19">
        <f t="shared" si="0"/>
        <v>9.821018815970628E-2</v>
      </c>
      <c r="F22" s="19">
        <f t="shared" si="0"/>
        <v>0.1180797522260937</v>
      </c>
      <c r="G22" s="19">
        <f t="shared" si="0"/>
        <v>9.1990206365862193E-2</v>
      </c>
      <c r="H22" s="19">
        <f t="shared" si="0"/>
        <v>8.8476632179807335E-2</v>
      </c>
      <c r="I22" s="19">
        <f t="shared" si="0"/>
        <v>0.11686838124054462</v>
      </c>
      <c r="J22" s="19">
        <f t="shared" si="0"/>
        <v>0.11032472939217318</v>
      </c>
      <c r="K22" s="19">
        <f t="shared" si="0"/>
        <v>0.1237384817902589</v>
      </c>
      <c r="L22" s="19">
        <f t="shared" si="0"/>
        <v>0.13183730715287517</v>
      </c>
      <c r="M22" s="19">
        <f t="shared" ref="M22" si="1">M6/SUM(M$6:M$9)</f>
        <v>0.16017316017316016</v>
      </c>
      <c r="N22" s="212">
        <f>100*(AvgMonthlyPop_YearlybyLegalBasis_Ethnicity[[#This Row],[2025]]-AvgMonthlyPop_YearlybyLegalBasis_Ethnicity[[#This Row],[2015]])</f>
        <v>6.3758262853285466</v>
      </c>
      <c r="O22" s="212">
        <f>100*(AvgMonthlyPop_YearlybyLegalBasis_Ethnicity[[#This Row],[2025]]-AvgMonthlyPop_YearlybyLegalBasis_Ethnicity[[#This Row],[2024]])</f>
        <v>2.8335853020284989</v>
      </c>
    </row>
    <row r="23" spans="1:15" x14ac:dyDescent="0.2">
      <c r="A23" s="20" t="s">
        <v>259</v>
      </c>
      <c r="B23" s="20" t="s">
        <v>124</v>
      </c>
      <c r="C23" s="18">
        <f t="shared" ref="C23:L23" si="2">C7/SUM(C$6:C$9)</f>
        <v>0.29481378350156628</v>
      </c>
      <c r="D23" s="18">
        <f t="shared" si="2"/>
        <v>0.26403162055335966</v>
      </c>
      <c r="E23" s="18">
        <f t="shared" si="2"/>
        <v>0.33547498852684715</v>
      </c>
      <c r="F23" s="18">
        <f t="shared" si="2"/>
        <v>0.32946186604723193</v>
      </c>
      <c r="G23" s="18">
        <f t="shared" si="2"/>
        <v>0.32633788037775446</v>
      </c>
      <c r="H23" s="18">
        <f t="shared" si="2"/>
        <v>0.35069568319657507</v>
      </c>
      <c r="I23" s="18">
        <f t="shared" si="2"/>
        <v>0.34493192133131617</v>
      </c>
      <c r="J23" s="18">
        <f t="shared" si="2"/>
        <v>0.31182348043297248</v>
      </c>
      <c r="K23" s="18">
        <f t="shared" si="2"/>
        <v>0.32602018429135587</v>
      </c>
      <c r="L23" s="18">
        <f t="shared" si="2"/>
        <v>0.27395979429640022</v>
      </c>
      <c r="M23" s="18">
        <f t="shared" ref="M23:M25" si="3">M7/SUM(M$6:M$9)</f>
        <v>0.28379028379028376</v>
      </c>
      <c r="N23" s="64">
        <f>100*(AvgMonthlyPop_YearlybyLegalBasis_Ethnicity[[#This Row],[2025]]-AvgMonthlyPop_YearlybyLegalBasis_Ethnicity[[#This Row],[2015]])</f>
        <v>-1.1023499711282525</v>
      </c>
      <c r="O23" s="64">
        <f>100*(AvgMonthlyPop_YearlybyLegalBasis_Ethnicity[[#This Row],[2025]]-AvgMonthlyPop_YearlybyLegalBasis_Ethnicity[[#This Row],[2024]])</f>
        <v>0.9830489493883543</v>
      </c>
    </row>
    <row r="24" spans="1:15" x14ac:dyDescent="0.2">
      <c r="A24" s="20" t="s">
        <v>259</v>
      </c>
      <c r="B24" s="20" t="s">
        <v>125</v>
      </c>
      <c r="C24" s="18">
        <f t="shared" ref="C24:L24" si="4">C8/SUM(C$6:C$9)</f>
        <v>0.12391228680821442</v>
      </c>
      <c r="D24" s="18">
        <f t="shared" si="4"/>
        <v>9.8023715415019766E-2</v>
      </c>
      <c r="E24" s="18">
        <f t="shared" si="4"/>
        <v>0.10692978430472694</v>
      </c>
      <c r="F24" s="18">
        <f t="shared" si="4"/>
        <v>0.11614401858304298</v>
      </c>
      <c r="G24" s="18">
        <f t="shared" si="4"/>
        <v>0.14865337530605105</v>
      </c>
      <c r="H24" s="18">
        <f t="shared" si="4"/>
        <v>0.13949339992864787</v>
      </c>
      <c r="I24" s="18">
        <f t="shared" si="4"/>
        <v>0.13653555219364599</v>
      </c>
      <c r="J24" s="18">
        <f t="shared" si="4"/>
        <v>0.15320566194837634</v>
      </c>
      <c r="K24" s="18">
        <f t="shared" si="4"/>
        <v>0.16103554190434402</v>
      </c>
      <c r="L24" s="18">
        <f t="shared" si="4"/>
        <v>0.18513323983169705</v>
      </c>
      <c r="M24" s="18">
        <f t="shared" si="3"/>
        <v>0.17652717652717653</v>
      </c>
      <c r="N24" s="64">
        <f>100*(AvgMonthlyPop_YearlybyLegalBasis_Ethnicity[[#This Row],[2025]]-AvgMonthlyPop_YearlybyLegalBasis_Ethnicity[[#This Row],[2015]])</f>
        <v>5.2614889718962115</v>
      </c>
      <c r="O24" s="64">
        <f>100*(AvgMonthlyPop_YearlybyLegalBasis_Ethnicity[[#This Row],[2025]]-AvgMonthlyPop_YearlybyLegalBasis_Ethnicity[[#This Row],[2024]])</f>
        <v>-0.8606063304520517</v>
      </c>
    </row>
    <row r="25" spans="1:15" x14ac:dyDescent="0.2">
      <c r="A25" s="20" t="s">
        <v>259</v>
      </c>
      <c r="B25" s="20" t="s">
        <v>126</v>
      </c>
      <c r="C25" s="18">
        <f t="shared" ref="C25:L25" si="5">C9/SUM(C$6:C$9)</f>
        <v>0.48485903237034461</v>
      </c>
      <c r="D25" s="18">
        <f t="shared" si="5"/>
        <v>0.50592885375494068</v>
      </c>
      <c r="E25" s="18">
        <f t="shared" si="5"/>
        <v>0.45938503900871958</v>
      </c>
      <c r="F25" s="18">
        <f t="shared" si="5"/>
        <v>0.43631436314363148</v>
      </c>
      <c r="G25" s="18">
        <f t="shared" si="5"/>
        <v>0.43301853795033229</v>
      </c>
      <c r="H25" s="18">
        <f t="shared" si="5"/>
        <v>0.42133428469496964</v>
      </c>
      <c r="I25" s="18">
        <f t="shared" si="5"/>
        <v>0.40166414523449318</v>
      </c>
      <c r="J25" s="18">
        <f t="shared" si="5"/>
        <v>0.4246461282264779</v>
      </c>
      <c r="K25" s="18">
        <f t="shared" si="5"/>
        <v>0.38920579201404126</v>
      </c>
      <c r="L25" s="18">
        <f t="shared" si="5"/>
        <v>0.40906965871902762</v>
      </c>
      <c r="M25" s="18">
        <f t="shared" si="3"/>
        <v>0.37950937950937952</v>
      </c>
      <c r="N25" s="64">
        <f>100*(AvgMonthlyPop_YearlybyLegalBasis_Ethnicity[[#This Row],[2025]]-AvgMonthlyPop_YearlybyLegalBasis_Ethnicity[[#This Row],[2015]])</f>
        <v>-10.53496528609651</v>
      </c>
      <c r="O25" s="64">
        <f>100*(AvgMonthlyPop_YearlybyLegalBasis_Ethnicity[[#This Row],[2025]]-AvgMonthlyPop_YearlybyLegalBasis_Ethnicity[[#This Row],[2024]])</f>
        <v>-2.9560279209648099</v>
      </c>
    </row>
    <row r="26" spans="1:15" x14ac:dyDescent="0.2">
      <c r="A26" s="10" t="s">
        <v>259</v>
      </c>
      <c r="B26" s="10" t="s">
        <v>127</v>
      </c>
      <c r="C26" s="19">
        <f t="shared" ref="C26:L26" si="6">C10/SUM(C$10:C$13)</f>
        <v>8.0540946656649126E-2</v>
      </c>
      <c r="D26" s="19">
        <f t="shared" si="6"/>
        <v>8.0187887938265395E-2</v>
      </c>
      <c r="E26" s="19">
        <f t="shared" si="6"/>
        <v>7.9632165916650358E-2</v>
      </c>
      <c r="F26" s="19">
        <f t="shared" si="6"/>
        <v>7.032875572201415E-2</v>
      </c>
      <c r="G26" s="19">
        <f t="shared" si="6"/>
        <v>5.1077414205905829E-2</v>
      </c>
      <c r="H26" s="19">
        <f t="shared" si="6"/>
        <v>8.6780715396578556E-2</v>
      </c>
      <c r="I26" s="19">
        <f t="shared" si="6"/>
        <v>8.0447522642514646E-2</v>
      </c>
      <c r="J26" s="19">
        <f t="shared" si="6"/>
        <v>7.0512820512820512E-2</v>
      </c>
      <c r="K26" s="19">
        <f t="shared" si="6"/>
        <v>0.10785091197462331</v>
      </c>
      <c r="L26" s="19">
        <f t="shared" si="6"/>
        <v>5.6082148499210116E-2</v>
      </c>
      <c r="M26" s="19">
        <f t="shared" ref="M26" si="7">M10/SUM(M$10:M$13)</f>
        <v>8.0985915492957763E-2</v>
      </c>
      <c r="N26" s="211">
        <f>100*(AvgMonthlyPop_YearlybyLegalBasis_Ethnicity[[#This Row],[2025]]-AvgMonthlyPop_YearlybyLegalBasis_Ethnicity[[#This Row],[2015]])</f>
        <v>4.4496883630863737E-2</v>
      </c>
      <c r="O26" s="211">
        <f>100*(AvgMonthlyPop_YearlybyLegalBasis_Ethnicity[[#This Row],[2025]]-AvgMonthlyPop_YearlybyLegalBasis_Ethnicity[[#This Row],[2024]])</f>
        <v>2.4903766993747647</v>
      </c>
    </row>
    <row r="27" spans="1:15" x14ac:dyDescent="0.2">
      <c r="A27" s="20" t="s">
        <v>259</v>
      </c>
      <c r="B27" s="20" t="s">
        <v>130</v>
      </c>
      <c r="C27" s="18">
        <f t="shared" ref="C27:L27" si="8">C11/SUM(C$10:C$13)</f>
        <v>0.16093163035311794</v>
      </c>
      <c r="D27" s="18">
        <f t="shared" si="8"/>
        <v>0.17262204328132863</v>
      </c>
      <c r="E27" s="18">
        <f t="shared" si="8"/>
        <v>0.19546077088632363</v>
      </c>
      <c r="F27" s="18">
        <f t="shared" si="8"/>
        <v>0.19475655430711611</v>
      </c>
      <c r="G27" s="18">
        <f t="shared" si="8"/>
        <v>0.23171056131949985</v>
      </c>
      <c r="H27" s="18">
        <f t="shared" si="8"/>
        <v>0.23234836702954903</v>
      </c>
      <c r="I27" s="18">
        <f t="shared" si="8"/>
        <v>0.21790090570058604</v>
      </c>
      <c r="J27" s="18">
        <f t="shared" si="8"/>
        <v>0.23557692307692307</v>
      </c>
      <c r="K27" s="18">
        <f t="shared" si="8"/>
        <v>0.1712926249008723</v>
      </c>
      <c r="L27" s="18">
        <f t="shared" si="8"/>
        <v>0.20221169036334913</v>
      </c>
      <c r="M27" s="18">
        <f t="shared" ref="M27" si="9">M11/SUM(M$10:M$13)</f>
        <v>0.16021126760563381</v>
      </c>
      <c r="N27" s="64">
        <f>100*(AvgMonthlyPop_YearlybyLegalBasis_Ethnicity[[#This Row],[2025]]-AvgMonthlyPop_YearlybyLegalBasis_Ethnicity[[#This Row],[2015]])</f>
        <v>-7.2036274748413232E-2</v>
      </c>
      <c r="O27" s="64">
        <f>100*(AvgMonthlyPop_YearlybyLegalBasis_Ethnicity[[#This Row],[2025]]-AvgMonthlyPop_YearlybyLegalBasis_Ethnicity[[#This Row],[2024]])</f>
        <v>-4.2000422757715317</v>
      </c>
    </row>
    <row r="28" spans="1:15" x14ac:dyDescent="0.2">
      <c r="A28" s="20" t="s">
        <v>259</v>
      </c>
      <c r="B28" s="20" t="s">
        <v>128</v>
      </c>
      <c r="C28" s="18">
        <f t="shared" ref="C28:L28" si="10">C12/SUM(C$10:C$13)</f>
        <v>8.4748309541697972E-2</v>
      </c>
      <c r="D28" s="18">
        <f t="shared" si="10"/>
        <v>9.5957054185539334E-2</v>
      </c>
      <c r="E28" s="18">
        <f t="shared" si="10"/>
        <v>0.10898063001369596</v>
      </c>
      <c r="F28" s="18">
        <f t="shared" si="10"/>
        <v>9.3632958801498134E-2</v>
      </c>
      <c r="G28" s="18">
        <f t="shared" si="10"/>
        <v>8.991753125831338E-2</v>
      </c>
      <c r="H28" s="18">
        <f t="shared" si="10"/>
        <v>0.10824261275272164</v>
      </c>
      <c r="I28" s="18">
        <f t="shared" si="10"/>
        <v>0.1262653169952051</v>
      </c>
      <c r="J28" s="18">
        <f t="shared" si="10"/>
        <v>0.11538461538461539</v>
      </c>
      <c r="K28" s="18">
        <f t="shared" si="10"/>
        <v>0.11022997620935765</v>
      </c>
      <c r="L28" s="18">
        <f t="shared" si="10"/>
        <v>0.16350710900473933</v>
      </c>
      <c r="M28" s="18">
        <f t="shared" ref="M28:M29" si="11">M12/SUM(M$10:M$13)</f>
        <v>0.13556338028169015</v>
      </c>
      <c r="N28" s="64">
        <f>100*(AvgMonthlyPop_YearlybyLegalBasis_Ethnicity[[#This Row],[2025]]-AvgMonthlyPop_YearlybyLegalBasis_Ethnicity[[#This Row],[2015]])</f>
        <v>5.0815070739992185</v>
      </c>
      <c r="O28" s="64">
        <f>100*(AvgMonthlyPop_YearlybyLegalBasis_Ethnicity[[#This Row],[2025]]-AvgMonthlyPop_YearlybyLegalBasis_Ethnicity[[#This Row],[2024]])</f>
        <v>-2.7943728723049177</v>
      </c>
    </row>
    <row r="29" spans="1:15" x14ac:dyDescent="0.2">
      <c r="A29" s="20" t="s">
        <v>259</v>
      </c>
      <c r="B29" s="20" t="s">
        <v>129</v>
      </c>
      <c r="C29" s="18">
        <f t="shared" ref="C29:L29" si="12">C13/SUM(C$10:C$13)</f>
        <v>0.67377911344853492</v>
      </c>
      <c r="D29" s="18">
        <f t="shared" si="12"/>
        <v>0.6512330145948666</v>
      </c>
      <c r="E29" s="18">
        <f t="shared" si="12"/>
        <v>0.61592643318333007</v>
      </c>
      <c r="F29" s="18">
        <f t="shared" si="12"/>
        <v>0.64128173116937159</v>
      </c>
      <c r="G29" s="18">
        <f t="shared" si="12"/>
        <v>0.62729449321628095</v>
      </c>
      <c r="H29" s="18">
        <f t="shared" si="12"/>
        <v>0.5726283048211509</v>
      </c>
      <c r="I29" s="18">
        <f t="shared" si="12"/>
        <v>0.57538625466169413</v>
      </c>
      <c r="J29" s="18">
        <f t="shared" si="12"/>
        <v>0.57852564102564097</v>
      </c>
      <c r="K29" s="18">
        <f t="shared" si="12"/>
        <v>0.61062648691514665</v>
      </c>
      <c r="L29" s="18">
        <f t="shared" si="12"/>
        <v>0.5781990521327014</v>
      </c>
      <c r="M29" s="18">
        <f t="shared" si="11"/>
        <v>0.62323943661971837</v>
      </c>
      <c r="N29" s="64">
        <f>100*(AvgMonthlyPop_YearlybyLegalBasis_Ethnicity[[#This Row],[2025]]-AvgMonthlyPop_YearlybyLegalBasis_Ethnicity[[#This Row],[2015]])</f>
        <v>-5.0539676828816553</v>
      </c>
      <c r="O29" s="64">
        <f>100*(AvgMonthlyPop_YearlybyLegalBasis_Ethnicity[[#This Row],[2025]]-AvgMonthlyPop_YearlybyLegalBasis_Ethnicity[[#This Row],[2024]])</f>
        <v>4.5040384487016976</v>
      </c>
    </row>
    <row r="30" spans="1:15" x14ac:dyDescent="0.2">
      <c r="A30" s="10" t="s">
        <v>259</v>
      </c>
      <c r="B30" s="10" t="s">
        <v>165</v>
      </c>
      <c r="C30" s="19">
        <f t="shared" ref="C30:L30" si="13">C14/SUM(C$14:C$17)</f>
        <v>9.0343970161624543E-2</v>
      </c>
      <c r="D30" s="19">
        <f t="shared" si="13"/>
        <v>0.12942612942612944</v>
      </c>
      <c r="E30" s="19">
        <f t="shared" si="13"/>
        <v>0.14405426975259378</v>
      </c>
      <c r="F30" s="19">
        <f t="shared" si="13"/>
        <v>0.1080777860882573</v>
      </c>
      <c r="G30" s="19">
        <f t="shared" si="13"/>
        <v>0.15015533310321019</v>
      </c>
      <c r="H30" s="19">
        <f t="shared" si="13"/>
        <v>0.15744349181605613</v>
      </c>
      <c r="I30" s="19">
        <f t="shared" si="13"/>
        <v>0.11013215859030837</v>
      </c>
      <c r="J30" s="19">
        <f t="shared" si="13"/>
        <v>8.8770864946889225E-2</v>
      </c>
      <c r="K30" s="19">
        <f t="shared" si="13"/>
        <v>6.158088235294118E-2</v>
      </c>
      <c r="L30" s="19">
        <f t="shared" si="13"/>
        <v>6.6088840736728063E-2</v>
      </c>
      <c r="M30" s="19">
        <f t="shared" ref="M30" si="14">M14/SUM(M$14:M$17)</f>
        <v>0.11070559610705595</v>
      </c>
      <c r="N30" s="211">
        <f>100*(AvgMonthlyPop_YearlybyLegalBasis_Ethnicity[[#This Row],[2025]]-AvgMonthlyPop_YearlybyLegalBasis_Ethnicity[[#This Row],[2015]])</f>
        <v>2.036162594543141</v>
      </c>
      <c r="O30" s="211">
        <f>100*(AvgMonthlyPop_YearlybyLegalBasis_Ethnicity[[#This Row],[2025]]-AvgMonthlyPop_YearlybyLegalBasis_Ethnicity[[#This Row],[2024]])</f>
        <v>4.4616755370327885</v>
      </c>
    </row>
    <row r="31" spans="1:15" x14ac:dyDescent="0.2">
      <c r="A31" s="20" t="s">
        <v>259</v>
      </c>
      <c r="B31" s="20" t="s">
        <v>166</v>
      </c>
      <c r="C31" s="18">
        <f t="shared" ref="C31:L31" si="15">C15/SUM(C$14:C$17)</f>
        <v>0.23829258184832161</v>
      </c>
      <c r="D31" s="18">
        <f t="shared" si="15"/>
        <v>0.25722425722425724</v>
      </c>
      <c r="E31" s="18">
        <f t="shared" si="15"/>
        <v>0.22825219473264166</v>
      </c>
      <c r="F31" s="18">
        <f t="shared" si="15"/>
        <v>0.27823485415108457</v>
      </c>
      <c r="G31" s="18">
        <f t="shared" si="15"/>
        <v>0.26406627545736966</v>
      </c>
      <c r="H31" s="18">
        <f t="shared" si="15"/>
        <v>0.21901792673421672</v>
      </c>
      <c r="I31" s="18">
        <f t="shared" si="15"/>
        <v>0.22592825676526115</v>
      </c>
      <c r="J31" s="18">
        <f t="shared" si="15"/>
        <v>0.22837632776934746</v>
      </c>
      <c r="K31" s="18">
        <f t="shared" si="15"/>
        <v>0.22702205882352941</v>
      </c>
      <c r="L31" s="18">
        <f t="shared" si="15"/>
        <v>0.21018418201516798</v>
      </c>
      <c r="M31" s="18">
        <f t="shared" ref="M31:M33" si="16">M15/SUM(M$14:M$17)</f>
        <v>0.16545012165450124</v>
      </c>
      <c r="N31" s="64">
        <f>100*(AvgMonthlyPop_YearlybyLegalBasis_Ethnicity[[#This Row],[2025]]-AvgMonthlyPop_YearlybyLegalBasis_Ethnicity[[#This Row],[2015]])</f>
        <v>-7.2842460193820378</v>
      </c>
      <c r="O31" s="64">
        <f>100*(AvgMonthlyPop_YearlybyLegalBasis_Ethnicity[[#This Row],[2025]]-AvgMonthlyPop_YearlybyLegalBasis_Ethnicity[[#This Row],[2024]])</f>
        <v>-4.4734060360666739</v>
      </c>
    </row>
    <row r="32" spans="1:15" x14ac:dyDescent="0.2">
      <c r="A32" s="20" t="s">
        <v>259</v>
      </c>
      <c r="B32" s="20" t="s">
        <v>167</v>
      </c>
      <c r="C32" s="18">
        <f t="shared" ref="C32:L32" si="17">C16/SUM(C$14:C$17)</f>
        <v>0.11106506423539163</v>
      </c>
      <c r="D32" s="18">
        <f t="shared" si="17"/>
        <v>9.8901098901098897E-2</v>
      </c>
      <c r="E32" s="18">
        <f t="shared" si="17"/>
        <v>0.12490023942537909</v>
      </c>
      <c r="F32" s="18">
        <f t="shared" si="17"/>
        <v>0.11593118922961855</v>
      </c>
      <c r="G32" s="18">
        <f t="shared" si="17"/>
        <v>0.12461166724197444</v>
      </c>
      <c r="H32" s="18">
        <f t="shared" si="17"/>
        <v>0.13367108339828526</v>
      </c>
      <c r="I32" s="18">
        <f t="shared" si="17"/>
        <v>0.157960981749528</v>
      </c>
      <c r="J32" s="18">
        <f t="shared" si="17"/>
        <v>0.18133535660091046</v>
      </c>
      <c r="K32" s="18">
        <f t="shared" si="17"/>
        <v>0.1829044117647059</v>
      </c>
      <c r="L32" s="18">
        <f t="shared" si="17"/>
        <v>0.21451787648970749</v>
      </c>
      <c r="M32" s="18">
        <f t="shared" si="16"/>
        <v>0.18126520681265207</v>
      </c>
      <c r="N32" s="64">
        <f>100*(AvgMonthlyPop_YearlybyLegalBasis_Ethnicity[[#This Row],[2025]]-AvgMonthlyPop_YearlybyLegalBasis_Ethnicity[[#This Row],[2015]])</f>
        <v>7.0200142577260438</v>
      </c>
      <c r="O32" s="64">
        <f>100*(AvgMonthlyPop_YearlybyLegalBasis_Ethnicity[[#This Row],[2025]]-AvgMonthlyPop_YearlybyLegalBasis_Ethnicity[[#This Row],[2024]])</f>
        <v>-3.3252669677055424</v>
      </c>
    </row>
    <row r="33" spans="1:15" x14ac:dyDescent="0.2">
      <c r="A33" s="20" t="s">
        <v>259</v>
      </c>
      <c r="B33" s="20" t="s">
        <v>168</v>
      </c>
      <c r="C33" s="18">
        <f t="shared" ref="C33:L33" si="18">C17/SUM(C$14:C$17)</f>
        <v>0.56029838375466234</v>
      </c>
      <c r="D33" s="18">
        <f t="shared" si="18"/>
        <v>0.51444851444851447</v>
      </c>
      <c r="E33" s="18">
        <f t="shared" si="18"/>
        <v>0.5027932960893855</v>
      </c>
      <c r="F33" s="18">
        <f t="shared" si="18"/>
        <v>0.49775617053103971</v>
      </c>
      <c r="G33" s="18">
        <f t="shared" si="18"/>
        <v>0.46116672419744559</v>
      </c>
      <c r="H33" s="18">
        <f t="shared" si="18"/>
        <v>0.48986749805144197</v>
      </c>
      <c r="I33" s="18">
        <f t="shared" si="18"/>
        <v>0.50597860289490237</v>
      </c>
      <c r="J33" s="18">
        <f t="shared" si="18"/>
        <v>0.50151745068285281</v>
      </c>
      <c r="K33" s="18">
        <f t="shared" si="18"/>
        <v>0.52849264705882359</v>
      </c>
      <c r="L33" s="18">
        <f t="shared" si="18"/>
        <v>0.50920910075839654</v>
      </c>
      <c r="M33" s="18">
        <f t="shared" si="16"/>
        <v>0.54257907542579076</v>
      </c>
      <c r="N33" s="64">
        <f>100*(AvgMonthlyPop_YearlybyLegalBasis_Ethnicity[[#This Row],[2025]]-AvgMonthlyPop_YearlybyLegalBasis_Ethnicity[[#This Row],[2015]])</f>
        <v>-1.7719308328871586</v>
      </c>
      <c r="O33" s="64">
        <f>100*(AvgMonthlyPop_YearlybyLegalBasis_Ethnicity[[#This Row],[2025]]-AvgMonthlyPop_YearlybyLegalBasis_Ethnicity[[#This Row],[2024]])</f>
        <v>3.336997466739422</v>
      </c>
    </row>
    <row r="34" spans="1:15" x14ac:dyDescent="0.2">
      <c r="A34" s="10" t="s">
        <v>259</v>
      </c>
      <c r="B34" s="10" t="s">
        <v>268</v>
      </c>
      <c r="C34" s="19">
        <f t="shared" ref="C34:L34" si="19">C18/SUM(C$18:C$21)</f>
        <v>8.6519114688128784E-2</v>
      </c>
      <c r="D34" s="19">
        <f t="shared" si="19"/>
        <v>0.12670565302144252</v>
      </c>
      <c r="E34" s="19">
        <f t="shared" si="19"/>
        <v>0.16817359855334538</v>
      </c>
      <c r="F34" s="19">
        <f t="shared" si="19"/>
        <v>0.111864406779661</v>
      </c>
      <c r="G34" s="19">
        <f t="shared" si="19"/>
        <v>2.9498525073746312E-2</v>
      </c>
      <c r="H34" s="19">
        <f t="shared" si="19"/>
        <v>5.2132701421800945E-2</v>
      </c>
      <c r="I34" s="19">
        <f t="shared" si="19"/>
        <v>2.4436090225563912E-2</v>
      </c>
      <c r="J34" s="19">
        <f t="shared" si="19"/>
        <v>5.2493438320209973E-2</v>
      </c>
      <c r="K34" s="19">
        <f t="shared" si="19"/>
        <v>5.8922558922558918E-2</v>
      </c>
      <c r="L34" s="19">
        <f t="shared" si="19"/>
        <v>7.044198895027623E-2</v>
      </c>
      <c r="M34" s="19">
        <f t="shared" ref="M34" si="20">M18/SUM(M$18:M$21)</f>
        <v>0.10532837670384139</v>
      </c>
      <c r="N34" s="211">
        <f>100*(AvgMonthlyPop_YearlybyLegalBasis_Ethnicity[[#This Row],[2025]]-AvgMonthlyPop_YearlybyLegalBasis_Ethnicity[[#This Row],[2015]])</f>
        <v>1.8809262015712604</v>
      </c>
      <c r="O34" s="211">
        <f>100*(AvgMonthlyPop_YearlybyLegalBasis_Ethnicity[[#This Row],[2025]]-AvgMonthlyPop_YearlybyLegalBasis_Ethnicity[[#This Row],[2024]])</f>
        <v>3.4886387753565158</v>
      </c>
    </row>
    <row r="35" spans="1:15" x14ac:dyDescent="0.2">
      <c r="A35" s="20" t="s">
        <v>259</v>
      </c>
      <c r="B35" s="20" t="s">
        <v>269</v>
      </c>
      <c r="C35" s="18">
        <f t="shared" ref="C35:L35" si="21">C19/SUM(C$18:C$21)</f>
        <v>0.26358148893360162</v>
      </c>
      <c r="D35" s="18">
        <f t="shared" si="21"/>
        <v>0.24951267056530213</v>
      </c>
      <c r="E35" s="18">
        <f t="shared" si="21"/>
        <v>0.24050632911392406</v>
      </c>
      <c r="F35" s="18">
        <f t="shared" si="21"/>
        <v>0.31186440677966099</v>
      </c>
      <c r="G35" s="18">
        <f t="shared" si="21"/>
        <v>0.44100294985250738</v>
      </c>
      <c r="H35" s="18">
        <f t="shared" si="21"/>
        <v>0.47867298578199052</v>
      </c>
      <c r="I35" s="18">
        <f t="shared" si="21"/>
        <v>0.47180451127819556</v>
      </c>
      <c r="J35" s="18">
        <f t="shared" si="21"/>
        <v>0.37270341207349084</v>
      </c>
      <c r="K35" s="18">
        <f t="shared" si="21"/>
        <v>0.23737373737373738</v>
      </c>
      <c r="L35" s="18">
        <f t="shared" si="21"/>
        <v>0.22099447513812151</v>
      </c>
      <c r="M35" s="18">
        <f t="shared" ref="M35" si="22">M19/SUM(M$18:M$21)</f>
        <v>0.19330855018587362</v>
      </c>
      <c r="N35" s="64">
        <f>100*(AvgMonthlyPop_YearlybyLegalBasis_Ethnicity[[#This Row],[2025]]-AvgMonthlyPop_YearlybyLegalBasis_Ethnicity[[#This Row],[2015]])</f>
        <v>-7.0272938747728002</v>
      </c>
      <c r="O35" s="64">
        <f>100*(AvgMonthlyPop_YearlybyLegalBasis_Ethnicity[[#This Row],[2025]]-AvgMonthlyPop_YearlybyLegalBasis_Ethnicity[[#This Row],[2024]])</f>
        <v>-2.7685924952247891</v>
      </c>
    </row>
    <row r="36" spans="1:15" x14ac:dyDescent="0.2">
      <c r="A36" s="20" t="s">
        <v>259</v>
      </c>
      <c r="B36" s="20" t="s">
        <v>270</v>
      </c>
      <c r="C36" s="18">
        <f t="shared" ref="C36:L36" si="23">C20/SUM(C$18:C$21)</f>
        <v>5.030181086519115E-2</v>
      </c>
      <c r="D36" s="18">
        <f t="shared" si="23"/>
        <v>0.13450292397660818</v>
      </c>
      <c r="E36" s="18">
        <f t="shared" si="23"/>
        <v>0.12477396021699819</v>
      </c>
      <c r="F36" s="18">
        <f t="shared" si="23"/>
        <v>9.9999999999999992E-2</v>
      </c>
      <c r="G36" s="18">
        <f t="shared" si="23"/>
        <v>0.11651917404129793</v>
      </c>
      <c r="H36" s="18">
        <f t="shared" si="23"/>
        <v>0.1358609794628752</v>
      </c>
      <c r="I36" s="18">
        <f t="shared" si="23"/>
        <v>0.14285714285714288</v>
      </c>
      <c r="J36" s="18">
        <f t="shared" si="23"/>
        <v>0.13648293963254593</v>
      </c>
      <c r="K36" s="18">
        <f t="shared" si="23"/>
        <v>0.10437710437710439</v>
      </c>
      <c r="L36" s="18">
        <f t="shared" si="23"/>
        <v>0.13121546961325967</v>
      </c>
      <c r="M36" s="18">
        <f t="shared" ref="M36" si="24">M20/SUM(M$18:M$21)</f>
        <v>0.23791821561338289</v>
      </c>
      <c r="N36" s="64">
        <f>100*(AvgMonthlyPop_YearlybyLegalBasis_Ethnicity[[#This Row],[2025]]-AvgMonthlyPop_YearlybyLegalBasis_Ethnicity[[#This Row],[2015]])</f>
        <v>18.761640474819174</v>
      </c>
      <c r="O36" s="64">
        <f>100*(AvgMonthlyPop_YearlybyLegalBasis_Ethnicity[[#This Row],[2025]]-AvgMonthlyPop_YearlybyLegalBasis_Ethnicity[[#This Row],[2024]])</f>
        <v>10.670274600012322</v>
      </c>
    </row>
    <row r="37" spans="1:15" x14ac:dyDescent="0.2">
      <c r="A37" s="20" t="s">
        <v>259</v>
      </c>
      <c r="B37" s="20" t="s">
        <v>271</v>
      </c>
      <c r="C37" s="18">
        <f t="shared" ref="C37:L37" si="25">C21/SUM(C$18:C$21)</f>
        <v>0.59959758551307851</v>
      </c>
      <c r="D37" s="18">
        <f t="shared" si="25"/>
        <v>0.4892787524366472</v>
      </c>
      <c r="E37" s="18">
        <f t="shared" si="25"/>
        <v>0.46654611211573233</v>
      </c>
      <c r="F37" s="18">
        <f t="shared" si="25"/>
        <v>0.47627118644067795</v>
      </c>
      <c r="G37" s="18">
        <f t="shared" si="25"/>
        <v>0.41297935103244837</v>
      </c>
      <c r="H37" s="18">
        <f t="shared" si="25"/>
        <v>0.33333333333333331</v>
      </c>
      <c r="I37" s="18">
        <f t="shared" si="25"/>
        <v>0.36090225563909778</v>
      </c>
      <c r="J37" s="18">
        <f t="shared" si="25"/>
        <v>0.43832020997375326</v>
      </c>
      <c r="K37" s="18">
        <f t="shared" si="25"/>
        <v>0.59932659932659937</v>
      </c>
      <c r="L37" s="18">
        <f t="shared" si="25"/>
        <v>0.57734806629834245</v>
      </c>
      <c r="M37" s="18">
        <f t="shared" ref="M37" si="26">M21/SUM(M$18:M$21)</f>
        <v>0.46344485749690212</v>
      </c>
      <c r="N37" s="64">
        <f>100*(AvgMonthlyPop_YearlybyLegalBasis_Ethnicity[[#This Row],[2025]]-AvgMonthlyPop_YearlybyLegalBasis_Ethnicity[[#This Row],[2015]])</f>
        <v>-13.615272801617639</v>
      </c>
      <c r="O37" s="64">
        <f>100*(AvgMonthlyPop_YearlybyLegalBasis_Ethnicity[[#This Row],[2025]]-AvgMonthlyPop_YearlybyLegalBasis_Ethnicity[[#This Row],[2024]])</f>
        <v>-11.390320880144033</v>
      </c>
    </row>
  </sheetData>
  <phoneticPr fontId="19" type="noConversion"/>
  <pageMargins left="0.7" right="0.7" top="0.75" bottom="0.75" header="0.3" footer="0.3"/>
  <pageSetup paperSize="9" orientation="portrait" r:id="rId1"/>
  <ignoredErrors>
    <ignoredError sqref="N6:N37 O6:O37" calculatedColumn="1"/>
    <ignoredError sqref="M27 M36" formula="1"/>
  </ignoredError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B4F915-1F6A-4FCB-A473-6A8CDA3BE962}">
  <sheetPr codeName="Sheet12"/>
  <dimension ref="A1:O42"/>
  <sheetViews>
    <sheetView workbookViewId="0"/>
  </sheetViews>
  <sheetFormatPr defaultColWidth="8.6640625" defaultRowHeight="15" x14ac:dyDescent="0.2"/>
  <cols>
    <col min="1" max="1" width="19.6640625" bestFit="1" customWidth="1"/>
    <col min="2" max="2" width="10.88671875" bestFit="1" customWidth="1"/>
    <col min="14" max="15" width="11.6640625" customWidth="1"/>
  </cols>
  <sheetData>
    <row r="1" spans="1:15" ht="15.75" x14ac:dyDescent="0.2">
      <c r="A1" s="38" t="s">
        <v>330</v>
      </c>
      <c r="B1" s="38"/>
      <c r="C1" s="12"/>
      <c r="D1" s="12"/>
      <c r="E1" s="12"/>
      <c r="F1" s="12"/>
      <c r="G1" s="12"/>
      <c r="H1" s="12"/>
      <c r="I1" s="12"/>
      <c r="J1" s="12"/>
      <c r="K1" s="12"/>
      <c r="L1" s="12"/>
      <c r="M1" s="12"/>
      <c r="N1" s="12"/>
      <c r="O1" s="12"/>
    </row>
    <row r="2" spans="1:15" x14ac:dyDescent="0.2">
      <c r="A2" s="4" t="s">
        <v>339</v>
      </c>
      <c r="B2" s="4"/>
      <c r="C2" s="12"/>
      <c r="D2" s="12"/>
      <c r="E2" s="12"/>
      <c r="F2" s="12"/>
      <c r="G2" s="12"/>
      <c r="H2" s="12"/>
      <c r="I2" s="12"/>
      <c r="J2" s="12"/>
      <c r="K2" s="12"/>
      <c r="L2" s="12"/>
      <c r="M2" s="12"/>
      <c r="N2" s="12"/>
      <c r="O2" s="12"/>
    </row>
    <row r="3" spans="1:15" x14ac:dyDescent="0.2">
      <c r="A3" s="4" t="s">
        <v>153</v>
      </c>
      <c r="B3" s="4"/>
      <c r="C3" s="12"/>
      <c r="D3" s="12"/>
      <c r="E3" s="12"/>
      <c r="F3" s="12"/>
      <c r="G3" s="12"/>
      <c r="H3" s="12"/>
      <c r="I3" s="12"/>
      <c r="J3" s="12"/>
      <c r="K3" s="12"/>
      <c r="L3" s="12"/>
      <c r="M3" s="12"/>
      <c r="N3" s="12"/>
      <c r="O3" s="12"/>
    </row>
    <row r="4" spans="1:15" x14ac:dyDescent="0.2">
      <c r="A4" s="4" t="s">
        <v>281</v>
      </c>
      <c r="B4" s="4"/>
      <c r="C4" s="12"/>
      <c r="D4" s="12"/>
      <c r="E4" s="12"/>
      <c r="F4" s="12"/>
      <c r="G4" s="12"/>
      <c r="H4" s="12"/>
      <c r="I4" s="12"/>
      <c r="J4" s="12"/>
      <c r="K4" s="12"/>
      <c r="L4" s="12"/>
      <c r="M4" s="12"/>
      <c r="N4" s="12"/>
      <c r="O4" s="12"/>
    </row>
    <row r="5" spans="1:15" ht="15.75" x14ac:dyDescent="0.2">
      <c r="A5" s="38" t="s">
        <v>332</v>
      </c>
      <c r="B5" s="4"/>
      <c r="C5" s="50"/>
      <c r="D5" s="50"/>
      <c r="E5" s="50"/>
      <c r="F5" s="50"/>
      <c r="G5" s="50"/>
      <c r="H5" s="50"/>
      <c r="I5" s="50"/>
      <c r="J5" s="50"/>
      <c r="K5" s="50"/>
      <c r="L5" s="50"/>
      <c r="M5" s="50"/>
      <c r="N5" s="50"/>
      <c r="O5" s="50" t="s">
        <v>35</v>
      </c>
    </row>
    <row r="6" spans="1:15" ht="38.25" x14ac:dyDescent="0.2">
      <c r="A6" s="44" t="s">
        <v>160</v>
      </c>
      <c r="B6" s="44" t="s">
        <v>154</v>
      </c>
      <c r="C6" s="50" t="s">
        <v>113</v>
      </c>
      <c r="D6" s="50" t="s">
        <v>114</v>
      </c>
      <c r="E6" s="50" t="s">
        <v>115</v>
      </c>
      <c r="F6" s="50" t="s">
        <v>116</v>
      </c>
      <c r="G6" s="50" t="s">
        <v>117</v>
      </c>
      <c r="H6" s="50" t="s">
        <v>118</v>
      </c>
      <c r="I6" s="90" t="s">
        <v>119</v>
      </c>
      <c r="J6" s="90" t="s">
        <v>120</v>
      </c>
      <c r="K6" s="90" t="s">
        <v>164</v>
      </c>
      <c r="L6" s="90" t="s">
        <v>187</v>
      </c>
      <c r="M6" s="90" t="s">
        <v>236</v>
      </c>
      <c r="N6" s="58" t="s">
        <v>238</v>
      </c>
      <c r="O6" s="58" t="s">
        <v>239</v>
      </c>
    </row>
    <row r="7" spans="1:15" x14ac:dyDescent="0.2">
      <c r="A7" s="59" t="s">
        <v>152</v>
      </c>
      <c r="B7" s="59" t="s">
        <v>74</v>
      </c>
      <c r="C7" s="5">
        <v>46.25</v>
      </c>
      <c r="D7" s="5">
        <v>42.166666666666664</v>
      </c>
      <c r="E7" s="5">
        <v>37.583333333333336</v>
      </c>
      <c r="F7" s="5">
        <v>32.333333333333336</v>
      </c>
      <c r="G7" s="5">
        <v>25.5</v>
      </c>
      <c r="H7" s="5">
        <v>22.75</v>
      </c>
      <c r="I7" s="5">
        <v>16.666666666666668</v>
      </c>
      <c r="J7" s="5">
        <v>10.333333333333334</v>
      </c>
      <c r="K7" s="5">
        <v>10.25</v>
      </c>
      <c r="L7" s="5">
        <v>12.333333333333334</v>
      </c>
      <c r="M7" s="5">
        <v>15.416666666666666</v>
      </c>
      <c r="N7" s="210">
        <f>AvgMonthlyPop_YearlyNumbyRegion[[#This Row],[2025]]/AvgMonthlyPop_YearlyNumbyRegion[[#This Row],[2015]]-1</f>
        <v>-0.66666666666666674</v>
      </c>
      <c r="O7" s="210">
        <f>AvgMonthlyPop_YearlyNumbyRegion[[#This Row],[2025]]/AvgMonthlyPop_YearlyNumbyRegion[[#This Row],[2024]]-1</f>
        <v>0.25</v>
      </c>
    </row>
    <row r="8" spans="1:15" x14ac:dyDescent="0.2">
      <c r="A8" s="59" t="s">
        <v>152</v>
      </c>
      <c r="B8" s="59" t="s">
        <v>67</v>
      </c>
      <c r="C8" s="5">
        <v>68</v>
      </c>
      <c r="D8" s="5">
        <v>55.583333333333336</v>
      </c>
      <c r="E8" s="5">
        <v>60.833333333333336</v>
      </c>
      <c r="F8" s="5">
        <v>67.166666666666671</v>
      </c>
      <c r="G8" s="5">
        <v>72.25</v>
      </c>
      <c r="H8" s="5">
        <v>55.75</v>
      </c>
      <c r="I8" s="5">
        <v>37.333333333333336</v>
      </c>
      <c r="J8" s="5">
        <v>35.75</v>
      </c>
      <c r="K8" s="5">
        <v>36.75</v>
      </c>
      <c r="L8" s="5">
        <v>26.5</v>
      </c>
      <c r="M8" s="5">
        <v>28.916666666666668</v>
      </c>
      <c r="N8" s="53">
        <f>AvgMonthlyPop_YearlyNumbyRegion[[#This Row],[2025]]/AvgMonthlyPop_YearlyNumbyRegion[[#This Row],[2015]]-1</f>
        <v>-0.57475490196078427</v>
      </c>
      <c r="O8" s="53">
        <f>AvgMonthlyPop_YearlyNumbyRegion[[#This Row],[2025]]/AvgMonthlyPop_YearlyNumbyRegion[[#This Row],[2024]]-1</f>
        <v>9.119496855345921E-2</v>
      </c>
    </row>
    <row r="9" spans="1:15" x14ac:dyDescent="0.2">
      <c r="A9" s="59" t="s">
        <v>152</v>
      </c>
      <c r="B9" s="59" t="s">
        <v>68</v>
      </c>
      <c r="C9" s="5">
        <v>68.416666666666671</v>
      </c>
      <c r="D9" s="5">
        <v>67.416666666666671</v>
      </c>
      <c r="E9" s="5">
        <v>61.25</v>
      </c>
      <c r="F9" s="5">
        <v>69.916666666666671</v>
      </c>
      <c r="G9" s="5">
        <v>80.833333333333329</v>
      </c>
      <c r="H9" s="5">
        <v>63.333333333333336</v>
      </c>
      <c r="I9" s="5">
        <v>44.333333333333336</v>
      </c>
      <c r="J9" s="5">
        <v>35.75</v>
      </c>
      <c r="K9" s="5">
        <v>34.5</v>
      </c>
      <c r="L9" s="5">
        <v>30</v>
      </c>
      <c r="M9" s="5">
        <v>28.083333333333332</v>
      </c>
      <c r="N9" s="53">
        <f>AvgMonthlyPop_YearlyNumbyRegion[[#This Row],[2025]]/AvgMonthlyPop_YearlyNumbyRegion[[#This Row],[2015]]-1</f>
        <v>-0.58952496954933009</v>
      </c>
      <c r="O9" s="53">
        <f>AvgMonthlyPop_YearlyNumbyRegion[[#This Row],[2025]]/AvgMonthlyPop_YearlyNumbyRegion[[#This Row],[2024]]-1</f>
        <v>-6.3888888888888884E-2</v>
      </c>
    </row>
    <row r="10" spans="1:15" x14ac:dyDescent="0.2">
      <c r="A10" s="59" t="s">
        <v>152</v>
      </c>
      <c r="B10" s="59" t="s">
        <v>69</v>
      </c>
      <c r="C10" s="5">
        <v>298.25</v>
      </c>
      <c r="D10" s="5">
        <v>264.25</v>
      </c>
      <c r="E10" s="5">
        <v>257.58333333333331</v>
      </c>
      <c r="F10" s="5">
        <v>260.75</v>
      </c>
      <c r="G10" s="5">
        <v>247.25</v>
      </c>
      <c r="H10" s="5">
        <v>237.25</v>
      </c>
      <c r="I10" s="5">
        <v>158.66666666666666</v>
      </c>
      <c r="J10" s="5">
        <v>123.66666666666667</v>
      </c>
      <c r="K10" s="5">
        <v>101.91666666666667</v>
      </c>
      <c r="L10" s="5">
        <v>99.416666666666671</v>
      </c>
      <c r="M10" s="5">
        <v>94.25</v>
      </c>
      <c r="N10" s="53">
        <f>AvgMonthlyPop_YearlyNumbyRegion[[#This Row],[2025]]/AvgMonthlyPop_YearlyNumbyRegion[[#This Row],[2015]]-1</f>
        <v>-0.68398994132439228</v>
      </c>
      <c r="O10" s="53">
        <f>AvgMonthlyPop_YearlyNumbyRegion[[#This Row],[2025]]/AvgMonthlyPop_YearlyNumbyRegion[[#This Row],[2024]]-1</f>
        <v>-5.1969823973176954E-2</v>
      </c>
    </row>
    <row r="11" spans="1:15" x14ac:dyDescent="0.2">
      <c r="A11" s="59" t="s">
        <v>152</v>
      </c>
      <c r="B11" s="59" t="s">
        <v>70</v>
      </c>
      <c r="C11" s="5">
        <v>48.583333333333336</v>
      </c>
      <c r="D11" s="5">
        <v>46.25</v>
      </c>
      <c r="E11" s="5">
        <v>41.916666666666664</v>
      </c>
      <c r="F11" s="5">
        <v>41.666666666666664</v>
      </c>
      <c r="G11" s="5">
        <v>23.666666666666668</v>
      </c>
      <c r="H11" s="5">
        <v>14</v>
      </c>
      <c r="I11" s="5">
        <v>13.916666666666666</v>
      </c>
      <c r="J11" s="5">
        <v>8.4166666666666661</v>
      </c>
      <c r="K11" s="5">
        <v>19.666666666666668</v>
      </c>
      <c r="L11" s="5">
        <v>28.083333333333332</v>
      </c>
      <c r="M11" s="5">
        <v>31.666666666666668</v>
      </c>
      <c r="N11" s="53">
        <f>AvgMonthlyPop_YearlyNumbyRegion[[#This Row],[2025]]/AvgMonthlyPop_YearlyNumbyRegion[[#This Row],[2015]]-1</f>
        <v>-0.34819897084048024</v>
      </c>
      <c r="O11" s="53">
        <f>AvgMonthlyPop_YearlyNumbyRegion[[#This Row],[2025]]/AvgMonthlyPop_YearlyNumbyRegion[[#This Row],[2024]]-1</f>
        <v>0.12759643916913954</v>
      </c>
    </row>
    <row r="12" spans="1:15" x14ac:dyDescent="0.2">
      <c r="A12" s="59" t="s">
        <v>152</v>
      </c>
      <c r="B12" s="59" t="s">
        <v>71</v>
      </c>
      <c r="C12" s="5">
        <v>159.58333333333334</v>
      </c>
      <c r="D12" s="5">
        <v>158.66666666666666</v>
      </c>
      <c r="E12" s="5">
        <v>126.25</v>
      </c>
      <c r="F12" s="5">
        <v>111.33333333333333</v>
      </c>
      <c r="G12" s="5">
        <v>120</v>
      </c>
      <c r="H12" s="5">
        <v>110.08333333333333</v>
      </c>
      <c r="I12" s="5">
        <v>77.25</v>
      </c>
      <c r="J12" s="5">
        <v>67.333333333333329</v>
      </c>
      <c r="K12" s="5">
        <v>78</v>
      </c>
      <c r="L12" s="5">
        <v>62.083333333333336</v>
      </c>
      <c r="M12" s="5">
        <v>63.333333333333336</v>
      </c>
      <c r="N12" s="53">
        <f>AvgMonthlyPop_YearlyNumbyRegion[[#This Row],[2025]]/AvgMonthlyPop_YearlyNumbyRegion[[#This Row],[2015]]-1</f>
        <v>-0.60313315926892952</v>
      </c>
      <c r="O12" s="53">
        <f>AvgMonthlyPop_YearlyNumbyRegion[[#This Row],[2025]]/AvgMonthlyPop_YearlyNumbyRegion[[#This Row],[2024]]-1</f>
        <v>2.0134228187919545E-2</v>
      </c>
    </row>
    <row r="13" spans="1:15" x14ac:dyDescent="0.2">
      <c r="A13" s="59" t="s">
        <v>152</v>
      </c>
      <c r="B13" s="59" t="s">
        <v>72</v>
      </c>
      <c r="C13" s="5">
        <v>83.916666666666671</v>
      </c>
      <c r="D13" s="5">
        <v>79.75</v>
      </c>
      <c r="E13" s="5">
        <v>58.416666666666664</v>
      </c>
      <c r="F13" s="5">
        <v>68.25</v>
      </c>
      <c r="G13" s="5">
        <v>63.666666666666664</v>
      </c>
      <c r="H13" s="5">
        <v>56.416666666666664</v>
      </c>
      <c r="I13" s="5">
        <v>43.666666666666664</v>
      </c>
      <c r="J13" s="5">
        <v>40.333333333333336</v>
      </c>
      <c r="K13" s="5">
        <v>42</v>
      </c>
      <c r="L13" s="5">
        <v>41.416666666666664</v>
      </c>
      <c r="M13" s="5">
        <v>39.75</v>
      </c>
      <c r="N13" s="53">
        <f>AvgMonthlyPop_YearlyNumbyRegion[[#This Row],[2025]]/AvgMonthlyPop_YearlyNumbyRegion[[#This Row],[2015]]-1</f>
        <v>-0.52631578947368429</v>
      </c>
      <c r="O13" s="53">
        <f>AvgMonthlyPop_YearlyNumbyRegion[[#This Row],[2025]]/AvgMonthlyPop_YearlyNumbyRegion[[#This Row],[2024]]-1</f>
        <v>-4.0241448692152848E-2</v>
      </c>
    </row>
    <row r="14" spans="1:15" x14ac:dyDescent="0.2">
      <c r="A14" s="59" t="s">
        <v>152</v>
      </c>
      <c r="B14" s="59" t="s">
        <v>73</v>
      </c>
      <c r="C14" s="5">
        <v>32.25</v>
      </c>
      <c r="D14" s="5">
        <v>37.083333333333336</v>
      </c>
      <c r="E14" s="5">
        <v>27</v>
      </c>
      <c r="F14" s="5">
        <v>34.916666666666664</v>
      </c>
      <c r="G14" s="5">
        <v>29.083333333333332</v>
      </c>
      <c r="H14" s="5">
        <v>35.916666666666664</v>
      </c>
      <c r="I14" s="5">
        <v>24.583333333333332</v>
      </c>
      <c r="J14" s="5">
        <v>18.25</v>
      </c>
      <c r="K14" s="5">
        <v>19.833333333333332</v>
      </c>
      <c r="L14" s="5">
        <v>26.083333333333332</v>
      </c>
      <c r="M14" s="5">
        <v>28.916666666666668</v>
      </c>
      <c r="N14" s="53">
        <f>AvgMonthlyPop_YearlyNumbyRegion[[#This Row],[2025]]/AvgMonthlyPop_YearlyNumbyRegion[[#This Row],[2015]]-1</f>
        <v>-0.10335917312661491</v>
      </c>
      <c r="O14" s="53">
        <f>AvgMonthlyPop_YearlyNumbyRegion[[#This Row],[2025]]/AvgMonthlyPop_YearlyNumbyRegion[[#This Row],[2024]]-1</f>
        <v>0.10862619808306717</v>
      </c>
    </row>
    <row r="15" spans="1:15" x14ac:dyDescent="0.2">
      <c r="A15" s="59" t="s">
        <v>152</v>
      </c>
      <c r="B15" s="59" t="s">
        <v>75</v>
      </c>
      <c r="C15" s="5">
        <v>123.58333333333333</v>
      </c>
      <c r="D15" s="5">
        <v>124.91666666666667</v>
      </c>
      <c r="E15" s="5">
        <v>114.25</v>
      </c>
      <c r="F15" s="5">
        <v>121.83333333333333</v>
      </c>
      <c r="G15" s="5">
        <v>109.08333333333333</v>
      </c>
      <c r="H15" s="5">
        <v>106.33333333333333</v>
      </c>
      <c r="I15" s="5">
        <v>93.583333333333329</v>
      </c>
      <c r="J15" s="5">
        <v>71.666666666666671</v>
      </c>
      <c r="K15" s="5">
        <v>57.333333333333336</v>
      </c>
      <c r="L15" s="5">
        <v>59</v>
      </c>
      <c r="M15" s="5">
        <v>57.583333333333336</v>
      </c>
      <c r="N15" s="53">
        <f>AvgMonthlyPop_YearlyNumbyRegion[[#This Row],[2025]]/AvgMonthlyPop_YearlyNumbyRegion[[#This Row],[2015]]-1</f>
        <v>-0.53405259608900879</v>
      </c>
      <c r="O15" s="53">
        <f>AvgMonthlyPop_YearlyNumbyRegion[[#This Row],[2025]]/AvgMonthlyPop_YearlyNumbyRegion[[#This Row],[2024]]-1</f>
        <v>-2.4011299435028222E-2</v>
      </c>
    </row>
    <row r="16" spans="1:15" x14ac:dyDescent="0.2">
      <c r="A16" s="59" t="s">
        <v>152</v>
      </c>
      <c r="B16" s="59" t="s">
        <v>76</v>
      </c>
      <c r="C16" s="5">
        <v>108.5</v>
      </c>
      <c r="D16" s="5">
        <v>84.166666666666671</v>
      </c>
      <c r="E16" s="5">
        <v>82.833333333333329</v>
      </c>
      <c r="F16" s="5">
        <v>85.75</v>
      </c>
      <c r="G16" s="5">
        <v>87.583333333333329</v>
      </c>
      <c r="H16" s="5">
        <v>79.25</v>
      </c>
      <c r="I16" s="5">
        <v>50.416666666666664</v>
      </c>
      <c r="J16" s="5">
        <v>42.75</v>
      </c>
      <c r="K16" s="5">
        <v>41.083333333333336</v>
      </c>
      <c r="L16" s="5">
        <v>44.833333333333336</v>
      </c>
      <c r="M16" s="5">
        <v>29.75</v>
      </c>
      <c r="N16" s="53">
        <f>AvgMonthlyPop_YearlyNumbyRegion[[#This Row],[2025]]/AvgMonthlyPop_YearlyNumbyRegion[[#This Row],[2015]]-1</f>
        <v>-0.72580645161290325</v>
      </c>
      <c r="O16" s="53">
        <f>AvgMonthlyPop_YearlyNumbyRegion[[#This Row],[2025]]/AvgMonthlyPop_YearlyNumbyRegion[[#This Row],[2024]]-1</f>
        <v>-0.33643122676579928</v>
      </c>
    </row>
    <row r="17" spans="1:15" x14ac:dyDescent="0.2">
      <c r="A17" s="62" t="s">
        <v>152</v>
      </c>
      <c r="B17" s="62" t="s">
        <v>36</v>
      </c>
      <c r="C17" s="63">
        <f>SUM(C7:C16)</f>
        <v>1037.3333333333335</v>
      </c>
      <c r="D17" s="63">
        <f t="shared" ref="D17:M17" si="0">SUM(D7:D16)</f>
        <v>960.25</v>
      </c>
      <c r="E17" s="63">
        <f t="shared" si="0"/>
        <v>867.91666666666674</v>
      </c>
      <c r="F17" s="63">
        <f t="shared" si="0"/>
        <v>893.91666666666674</v>
      </c>
      <c r="G17" s="63">
        <f t="shared" si="0"/>
        <v>858.91666666666674</v>
      </c>
      <c r="H17" s="63">
        <f t="shared" si="0"/>
        <v>781.08333333333337</v>
      </c>
      <c r="I17" s="63">
        <f t="shared" si="0"/>
        <v>560.41666666666663</v>
      </c>
      <c r="J17" s="63">
        <f t="shared" si="0"/>
        <v>454.25</v>
      </c>
      <c r="K17" s="63">
        <f t="shared" si="0"/>
        <v>441.33333333333331</v>
      </c>
      <c r="L17" s="63">
        <f t="shared" si="0"/>
        <v>429.75</v>
      </c>
      <c r="M17" s="63">
        <f t="shared" si="0"/>
        <v>417.66666666666669</v>
      </c>
      <c r="N17" s="49">
        <f>AvgMonthlyPop_YearlyNumbyRegion[[#This Row],[2025]]/AvgMonthlyPop_YearlyNumbyRegion[[#This Row],[2015]]-1</f>
        <v>-0.59736503856041134</v>
      </c>
      <c r="O17" s="49">
        <f>AvgMonthlyPop_YearlyNumbyRegion[[#This Row],[2025]]/AvgMonthlyPop_YearlyNumbyRegion[[#This Row],[2024]]-1</f>
        <v>-2.8117122357960045E-2</v>
      </c>
    </row>
    <row r="18" spans="1:15" x14ac:dyDescent="0.2">
      <c r="A18" s="59" t="s">
        <v>151</v>
      </c>
      <c r="B18" s="59" t="s">
        <v>74</v>
      </c>
      <c r="C18" s="13">
        <f t="shared" ref="C18:M18" si="1">C7/C$17</f>
        <v>4.4585475578406163E-2</v>
      </c>
      <c r="D18" s="13">
        <f t="shared" si="1"/>
        <v>4.3912175648702589E-2</v>
      </c>
      <c r="E18" s="13">
        <f t="shared" si="1"/>
        <v>4.330292846855497E-2</v>
      </c>
      <c r="F18" s="13">
        <f t="shared" si="1"/>
        <v>3.6170411112146916E-2</v>
      </c>
      <c r="G18" s="13">
        <f t="shared" si="1"/>
        <v>2.9688561172019012E-2</v>
      </c>
      <c r="H18" s="13">
        <f t="shared" si="1"/>
        <v>2.9126213592233007E-2</v>
      </c>
      <c r="I18" s="13">
        <f t="shared" si="1"/>
        <v>2.9739776951672868E-2</v>
      </c>
      <c r="J18" s="13">
        <f t="shared" si="1"/>
        <v>2.2748119611080538E-2</v>
      </c>
      <c r="K18" s="13">
        <f t="shared" si="1"/>
        <v>2.3225075528700907E-2</v>
      </c>
      <c r="L18" s="13">
        <f t="shared" si="1"/>
        <v>2.8698855923986816E-2</v>
      </c>
      <c r="M18" s="13">
        <f t="shared" si="1"/>
        <v>3.6911412609736627E-2</v>
      </c>
      <c r="N18" s="212">
        <f>100*(AvgMonthlyPop_YearlyNumbyRegion[[#This Row],[2025]]-AvgMonthlyPop_YearlyNumbyRegion[[#This Row],[2015]])</f>
        <v>-0.76740629686695361</v>
      </c>
      <c r="O18" s="212">
        <f>100*(AvgMonthlyPop_YearlyNumbyRegion[[#This Row],[2025]]-AvgMonthlyPop_YearlyNumbyRegion[[#This Row],[2024]])</f>
        <v>0.821255668574981</v>
      </c>
    </row>
    <row r="19" spans="1:15" x14ac:dyDescent="0.2">
      <c r="A19" s="59" t="s">
        <v>151</v>
      </c>
      <c r="B19" s="59" t="s">
        <v>67</v>
      </c>
      <c r="C19" s="13">
        <f t="shared" ref="C19:M19" si="2">C8/C$17</f>
        <v>6.5552699228791769E-2</v>
      </c>
      <c r="D19" s="13">
        <f t="shared" si="2"/>
        <v>5.7884231536926151E-2</v>
      </c>
      <c r="E19" s="13">
        <f t="shared" si="2"/>
        <v>7.0091214594335094E-2</v>
      </c>
      <c r="F19" s="13">
        <f t="shared" si="2"/>
        <v>7.513750349585159E-2</v>
      </c>
      <c r="G19" s="13">
        <f t="shared" si="2"/>
        <v>8.4117589987387206E-2</v>
      </c>
      <c r="H19" s="13">
        <f t="shared" si="2"/>
        <v>7.1375226715032533E-2</v>
      </c>
      <c r="I19" s="13">
        <f t="shared" si="2"/>
        <v>6.6617100371747215E-2</v>
      </c>
      <c r="J19" s="13">
        <f t="shared" si="2"/>
        <v>7.8701155751238303E-2</v>
      </c>
      <c r="K19" s="13">
        <f t="shared" si="2"/>
        <v>8.327039274924472E-2</v>
      </c>
      <c r="L19" s="13">
        <f t="shared" si="2"/>
        <v>6.1663757998836534E-2</v>
      </c>
      <c r="M19" s="13">
        <f t="shared" si="2"/>
        <v>6.9233838786911417E-2</v>
      </c>
      <c r="N19" s="93">
        <f>100*(AvgMonthlyPop_YearlyNumbyRegion[[#This Row],[2025]]-AvgMonthlyPop_YearlyNumbyRegion[[#This Row],[2015]])</f>
        <v>0.36811395581196477</v>
      </c>
      <c r="O19" s="93">
        <f>100*(AvgMonthlyPop_YearlyNumbyRegion[[#This Row],[2025]]-AvgMonthlyPop_YearlyNumbyRegion[[#This Row],[2024]])</f>
        <v>0.75700807880748833</v>
      </c>
    </row>
    <row r="20" spans="1:15" x14ac:dyDescent="0.2">
      <c r="A20" s="59" t="s">
        <v>151</v>
      </c>
      <c r="B20" s="59" t="s">
        <v>68</v>
      </c>
      <c r="C20" s="13">
        <f t="shared" ref="C20:M20" si="3">C9/C$17</f>
        <v>6.5954370179948582E-2</v>
      </c>
      <c r="D20" s="13">
        <f t="shared" si="3"/>
        <v>7.0207411264427672E-2</v>
      </c>
      <c r="E20" s="13">
        <f t="shared" si="3"/>
        <v>7.0571291406625047E-2</v>
      </c>
      <c r="F20" s="13">
        <f t="shared" si="3"/>
        <v>7.8213852894565117E-2</v>
      </c>
      <c r="G20" s="13">
        <f t="shared" si="3"/>
        <v>9.4110798486465488E-2</v>
      </c>
      <c r="H20" s="13">
        <f t="shared" si="3"/>
        <v>8.1083964579110213E-2</v>
      </c>
      <c r="I20" s="13">
        <f t="shared" si="3"/>
        <v>7.9107806691449817E-2</v>
      </c>
      <c r="J20" s="13">
        <f t="shared" si="3"/>
        <v>7.8701155751238303E-2</v>
      </c>
      <c r="K20" s="13">
        <f t="shared" si="3"/>
        <v>7.8172205438066467E-2</v>
      </c>
      <c r="L20" s="13">
        <f t="shared" si="3"/>
        <v>6.9808027923211169E-2</v>
      </c>
      <c r="M20" s="13">
        <f t="shared" si="3"/>
        <v>6.7238627294493217E-2</v>
      </c>
      <c r="N20" s="93">
        <f>100*(AvgMonthlyPop_YearlyNumbyRegion[[#This Row],[2025]]-AvgMonthlyPop_YearlyNumbyRegion[[#This Row],[2015]])</f>
        <v>0.12842571145446346</v>
      </c>
      <c r="O20" s="93">
        <f>100*(AvgMonthlyPop_YearlyNumbyRegion[[#This Row],[2025]]-AvgMonthlyPop_YearlyNumbyRegion[[#This Row],[2024]])</f>
        <v>-0.25694006287179522</v>
      </c>
    </row>
    <row r="21" spans="1:15" x14ac:dyDescent="0.2">
      <c r="A21" s="59" t="s">
        <v>151</v>
      </c>
      <c r="B21" s="59" t="s">
        <v>69</v>
      </c>
      <c r="C21" s="13">
        <f t="shared" ref="C21:M21" si="4">C10/C$17</f>
        <v>0.28751606683804626</v>
      </c>
      <c r="D21" s="13">
        <f t="shared" si="4"/>
        <v>0.27518875292892475</v>
      </c>
      <c r="E21" s="13">
        <f t="shared" si="4"/>
        <v>0.2967834853576572</v>
      </c>
      <c r="F21" s="13">
        <f t="shared" si="4"/>
        <v>0.29169385662347347</v>
      </c>
      <c r="G21" s="13">
        <f t="shared" si="4"/>
        <v>0.28786261763849808</v>
      </c>
      <c r="H21" s="13">
        <f t="shared" si="4"/>
        <v>0.30374479889042993</v>
      </c>
      <c r="I21" s="13">
        <f t="shared" si="4"/>
        <v>0.28312267657992563</v>
      </c>
      <c r="J21" s="13">
        <f t="shared" si="4"/>
        <v>0.27224362502293159</v>
      </c>
      <c r="K21" s="13">
        <f t="shared" si="4"/>
        <v>0.23092900302114805</v>
      </c>
      <c r="L21" s="13">
        <f t="shared" si="4"/>
        <v>0.23133604808997479</v>
      </c>
      <c r="M21" s="13">
        <f t="shared" si="4"/>
        <v>0.22565841979249798</v>
      </c>
      <c r="N21" s="93">
        <f>100*(AvgMonthlyPop_YearlyNumbyRegion[[#This Row],[2025]]-AvgMonthlyPop_YearlyNumbyRegion[[#This Row],[2015]])</f>
        <v>-6.1857647045548276</v>
      </c>
      <c r="O21" s="93">
        <f>100*(AvgMonthlyPop_YearlyNumbyRegion[[#This Row],[2025]]-AvgMonthlyPop_YearlyNumbyRegion[[#This Row],[2024]])</f>
        <v>-0.56776282974768111</v>
      </c>
    </row>
    <row r="22" spans="1:15" x14ac:dyDescent="0.2">
      <c r="A22" s="59" t="s">
        <v>151</v>
      </c>
      <c r="B22" s="59" t="s">
        <v>70</v>
      </c>
      <c r="C22" s="13">
        <f t="shared" ref="C22:M22" si="5">C11/C$17</f>
        <v>4.6834832904884313E-2</v>
      </c>
      <c r="D22" s="13">
        <f t="shared" si="5"/>
        <v>4.8164540484248897E-2</v>
      </c>
      <c r="E22" s="13">
        <f t="shared" si="5"/>
        <v>4.8295727316370614E-2</v>
      </c>
      <c r="F22" s="13">
        <f t="shared" si="5"/>
        <v>4.6611354525962517E-2</v>
      </c>
      <c r="G22" s="13">
        <f t="shared" si="5"/>
        <v>2.7554089453769283E-2</v>
      </c>
      <c r="H22" s="13">
        <f t="shared" si="5"/>
        <v>1.7923823749066467E-2</v>
      </c>
      <c r="I22" s="13">
        <f t="shared" si="5"/>
        <v>2.4832713754646841E-2</v>
      </c>
      <c r="J22" s="13">
        <f t="shared" si="5"/>
        <v>1.8528710328380112E-2</v>
      </c>
      <c r="K22" s="13">
        <f t="shared" si="5"/>
        <v>4.4561933534743206E-2</v>
      </c>
      <c r="L22" s="13">
        <f t="shared" si="5"/>
        <v>6.5348070583672674E-2</v>
      </c>
      <c r="M22" s="13">
        <f t="shared" si="5"/>
        <v>7.5818036711891454E-2</v>
      </c>
      <c r="N22" s="93">
        <f>100*(AvgMonthlyPop_YearlyNumbyRegion[[#This Row],[2025]]-AvgMonthlyPop_YearlyNumbyRegion[[#This Row],[2015]])</f>
        <v>2.8983203807007141</v>
      </c>
      <c r="O22" s="93">
        <f>100*(AvgMonthlyPop_YearlyNumbyRegion[[#This Row],[2025]]-AvgMonthlyPop_YearlyNumbyRegion[[#This Row],[2024]])</f>
        <v>1.0469966128218779</v>
      </c>
    </row>
    <row r="23" spans="1:15" x14ac:dyDescent="0.2">
      <c r="A23" s="59" t="s">
        <v>151</v>
      </c>
      <c r="B23" s="59" t="s">
        <v>71</v>
      </c>
      <c r="C23" s="13">
        <f t="shared" ref="C23:M23" si="6">C12/C$17</f>
        <v>0.15383997429305912</v>
      </c>
      <c r="D23" s="13">
        <f t="shared" si="6"/>
        <v>0.16523474789551332</v>
      </c>
      <c r="E23" s="13">
        <f t="shared" si="6"/>
        <v>0.14546327412385981</v>
      </c>
      <c r="F23" s="13">
        <f t="shared" si="6"/>
        <v>0.12454553929337185</v>
      </c>
      <c r="G23" s="13">
        <f t="shared" si="6"/>
        <v>0.13971087610361888</v>
      </c>
      <c r="H23" s="13">
        <f t="shared" si="6"/>
        <v>0.14093673316974287</v>
      </c>
      <c r="I23" s="13">
        <f t="shared" si="6"/>
        <v>0.13784386617100372</v>
      </c>
      <c r="J23" s="13">
        <f t="shared" si="6"/>
        <v>0.14822968262704089</v>
      </c>
      <c r="K23" s="13">
        <f t="shared" si="6"/>
        <v>0.17673716012084592</v>
      </c>
      <c r="L23" s="13">
        <f t="shared" si="6"/>
        <v>0.14446383556331202</v>
      </c>
      <c r="M23" s="13">
        <f t="shared" si="6"/>
        <v>0.15163607342378291</v>
      </c>
      <c r="N23" s="93">
        <f>100*(AvgMonthlyPop_YearlyNumbyRegion[[#This Row],[2025]]-AvgMonthlyPop_YearlyNumbyRegion[[#This Row],[2015]])</f>
        <v>-0.22039008692762152</v>
      </c>
      <c r="O23" s="93">
        <f>100*(AvgMonthlyPop_YearlyNumbyRegion[[#This Row],[2025]]-AvgMonthlyPop_YearlyNumbyRegion[[#This Row],[2024]])</f>
        <v>0.7172237860470887</v>
      </c>
    </row>
    <row r="24" spans="1:15" x14ac:dyDescent="0.2">
      <c r="A24" s="59" t="s">
        <v>151</v>
      </c>
      <c r="B24" s="59" t="s">
        <v>72</v>
      </c>
      <c r="C24" s="13">
        <f t="shared" ref="C24:M24" si="7">C13/C$17</f>
        <v>8.0896529562982003E-2</v>
      </c>
      <c r="D24" s="13">
        <f t="shared" si="7"/>
        <v>8.3051288726894032E-2</v>
      </c>
      <c r="E24" s="13">
        <f t="shared" si="7"/>
        <v>6.7306769083053275E-2</v>
      </c>
      <c r="F24" s="13">
        <f t="shared" si="7"/>
        <v>7.6349398713526612E-2</v>
      </c>
      <c r="G24" s="13">
        <f t="shared" si="7"/>
        <v>7.412438148830891E-2</v>
      </c>
      <c r="H24" s="13">
        <f t="shared" si="7"/>
        <v>7.2228742131654741E-2</v>
      </c>
      <c r="I24" s="13">
        <f t="shared" si="7"/>
        <v>7.7918215613382899E-2</v>
      </c>
      <c r="J24" s="13">
        <f t="shared" si="7"/>
        <v>8.8791047514217583E-2</v>
      </c>
      <c r="K24" s="13">
        <f t="shared" si="7"/>
        <v>9.5166163141993956E-2</v>
      </c>
      <c r="L24" s="13">
        <f t="shared" si="7"/>
        <v>9.6373860771766531E-2</v>
      </c>
      <c r="M24" s="13">
        <f t="shared" si="7"/>
        <v>9.5171588188347964E-2</v>
      </c>
      <c r="N24" s="93">
        <f>100*(AvgMonthlyPop_YearlyNumbyRegion[[#This Row],[2025]]-AvgMonthlyPop_YearlyNumbyRegion[[#This Row],[2015]])</f>
        <v>1.4275058625365959</v>
      </c>
      <c r="O24" s="93">
        <f>100*(AvgMonthlyPop_YearlyNumbyRegion[[#This Row],[2025]]-AvgMonthlyPop_YearlyNumbyRegion[[#This Row],[2024]])</f>
        <v>-0.12022725834185677</v>
      </c>
    </row>
    <row r="25" spans="1:15" x14ac:dyDescent="0.2">
      <c r="A25" s="59" t="s">
        <v>151</v>
      </c>
      <c r="B25" s="59" t="s">
        <v>73</v>
      </c>
      <c r="C25" s="13">
        <f t="shared" ref="C25:M25" si="8">C14/C$17</f>
        <v>3.108933161953727E-2</v>
      </c>
      <c r="D25" s="13">
        <f t="shared" si="8"/>
        <v>3.8618415343226596E-2</v>
      </c>
      <c r="E25" s="13">
        <f t="shared" si="8"/>
        <v>3.110897743638982E-2</v>
      </c>
      <c r="F25" s="13">
        <f t="shared" si="8"/>
        <v>3.9060315092756592E-2</v>
      </c>
      <c r="G25" s="13">
        <f t="shared" si="8"/>
        <v>3.3860483166779851E-2</v>
      </c>
      <c r="H25" s="13">
        <f t="shared" si="8"/>
        <v>4.5983143070521704E-2</v>
      </c>
      <c r="I25" s="13">
        <f t="shared" si="8"/>
        <v>4.3866171003717473E-2</v>
      </c>
      <c r="J25" s="13">
        <f t="shared" si="8"/>
        <v>4.0176114474408366E-2</v>
      </c>
      <c r="K25" s="13">
        <f t="shared" si="8"/>
        <v>4.4939577039274925E-2</v>
      </c>
      <c r="L25" s="13">
        <f t="shared" si="8"/>
        <v>6.0694202055458599E-2</v>
      </c>
      <c r="M25" s="13">
        <f t="shared" si="8"/>
        <v>6.9233838786911417E-2</v>
      </c>
      <c r="N25" s="93">
        <f>100*(AvgMonthlyPop_YearlyNumbyRegion[[#This Row],[2025]]-AvgMonthlyPop_YearlyNumbyRegion[[#This Row],[2015]])</f>
        <v>3.8144507167374151</v>
      </c>
      <c r="O25" s="93">
        <f>100*(AvgMonthlyPop_YearlyNumbyRegion[[#This Row],[2025]]-AvgMonthlyPop_YearlyNumbyRegion[[#This Row],[2024]])</f>
        <v>0.85396367314528177</v>
      </c>
    </row>
    <row r="26" spans="1:15" x14ac:dyDescent="0.2">
      <c r="A26" s="59" t="s">
        <v>151</v>
      </c>
      <c r="B26" s="59" t="s">
        <v>75</v>
      </c>
      <c r="C26" s="13">
        <f t="shared" ref="C26:L26" si="9">C15/C$17</f>
        <v>0.11913560411311051</v>
      </c>
      <c r="D26" s="13">
        <f t="shared" si="9"/>
        <v>0.13008765078538576</v>
      </c>
      <c r="E26" s="13">
        <f t="shared" si="9"/>
        <v>0.13163706192990876</v>
      </c>
      <c r="F26" s="13">
        <f t="shared" si="9"/>
        <v>0.13629160063391441</v>
      </c>
      <c r="G26" s="13">
        <f t="shared" si="9"/>
        <v>0.12700106723585911</v>
      </c>
      <c r="H26" s="13">
        <f t="shared" si="9"/>
        <v>0.13613570895124291</v>
      </c>
      <c r="I26" s="13">
        <f t="shared" si="9"/>
        <v>0.16698884758364313</v>
      </c>
      <c r="J26" s="13">
        <f t="shared" si="9"/>
        <v>0.15776921665749405</v>
      </c>
      <c r="K26" s="13">
        <f t="shared" si="9"/>
        <v>0.12990936555891239</v>
      </c>
      <c r="L26" s="13">
        <f t="shared" si="9"/>
        <v>0.13728912158231529</v>
      </c>
      <c r="M26" s="13">
        <f>M15/M$17</f>
        <v>0.13786911412609737</v>
      </c>
      <c r="N26" s="93">
        <f>100*(AvgMonthlyPop_YearlyNumbyRegion[[#This Row],[2025]]-AvgMonthlyPop_YearlyNumbyRegion[[#This Row],[2015]])</f>
        <v>1.8733510012986856</v>
      </c>
      <c r="O26" s="93">
        <f>100*(AvgMonthlyPop_YearlyNumbyRegion[[#This Row],[2025]]-AvgMonthlyPop_YearlyNumbyRegion[[#This Row],[2024]])</f>
        <v>5.7999254378207632E-2</v>
      </c>
    </row>
    <row r="27" spans="1:15" x14ac:dyDescent="0.2">
      <c r="A27" s="59" t="s">
        <v>151</v>
      </c>
      <c r="B27" s="59" t="s">
        <v>76</v>
      </c>
      <c r="C27" s="13">
        <f t="shared" ref="C27:L27" si="10">C16/C$17</f>
        <v>0.10459511568123392</v>
      </c>
      <c r="D27" s="13">
        <f t="shared" si="10"/>
        <v>8.7650785385750246E-2</v>
      </c>
      <c r="E27" s="13">
        <f t="shared" si="10"/>
        <v>9.5439270283245309E-2</v>
      </c>
      <c r="F27" s="13">
        <f t="shared" si="10"/>
        <v>9.5926167614430874E-2</v>
      </c>
      <c r="G27" s="13">
        <f t="shared" si="10"/>
        <v>0.10196953526729406</v>
      </c>
      <c r="H27" s="13">
        <f t="shared" si="10"/>
        <v>0.10146164515096553</v>
      </c>
      <c r="I27" s="13">
        <f t="shared" si="10"/>
        <v>8.9962825278810415E-2</v>
      </c>
      <c r="J27" s="13">
        <f t="shared" si="10"/>
        <v>9.4111172261970286E-2</v>
      </c>
      <c r="K27" s="13">
        <f t="shared" si="10"/>
        <v>9.3089123867069495E-2</v>
      </c>
      <c r="L27" s="13">
        <f t="shared" si="10"/>
        <v>0.10432421950746559</v>
      </c>
      <c r="M27" s="13">
        <f>M16/M$17</f>
        <v>7.1229050279329603E-2</v>
      </c>
      <c r="N27" s="93">
        <f>100*(AvgMonthlyPop_YearlyNumbyRegion[[#This Row],[2025]]-AvgMonthlyPop_YearlyNumbyRegion[[#This Row],[2015]])</f>
        <v>-3.3366065401904317</v>
      </c>
      <c r="O27" s="93">
        <f>100*(AvgMonthlyPop_YearlyNumbyRegion[[#This Row],[2025]]-AvgMonthlyPop_YearlyNumbyRegion[[#This Row],[2024]])</f>
        <v>-3.3095169228135992</v>
      </c>
    </row>
    <row r="28" spans="1:15" x14ac:dyDescent="0.2">
      <c r="A28" s="92" t="s">
        <v>151</v>
      </c>
      <c r="B28" s="92" t="s">
        <v>36</v>
      </c>
      <c r="C28" s="53">
        <f t="shared" ref="C28:L28" si="11">C17/C$17</f>
        <v>1</v>
      </c>
      <c r="D28" s="53">
        <f t="shared" si="11"/>
        <v>1</v>
      </c>
      <c r="E28" s="53">
        <f t="shared" si="11"/>
        <v>1</v>
      </c>
      <c r="F28" s="53">
        <f t="shared" si="11"/>
        <v>1</v>
      </c>
      <c r="G28" s="53">
        <f t="shared" si="11"/>
        <v>1</v>
      </c>
      <c r="H28" s="53">
        <f t="shared" si="11"/>
        <v>1</v>
      </c>
      <c r="I28" s="53">
        <f t="shared" si="11"/>
        <v>1</v>
      </c>
      <c r="J28" s="53">
        <f t="shared" si="11"/>
        <v>1</v>
      </c>
      <c r="K28" s="53">
        <f t="shared" si="11"/>
        <v>1</v>
      </c>
      <c r="L28" s="53">
        <f t="shared" si="11"/>
        <v>1</v>
      </c>
      <c r="M28" s="53">
        <f>M17/M$17</f>
        <v>1</v>
      </c>
      <c r="N28" s="93" t="s">
        <v>37</v>
      </c>
      <c r="O28" s="93" t="s">
        <v>37</v>
      </c>
    </row>
    <row r="29" spans="1:15" x14ac:dyDescent="0.2">
      <c r="A29" s="59"/>
      <c r="B29" s="59"/>
      <c r="C29" s="70"/>
      <c r="D29" s="70"/>
      <c r="E29" s="70"/>
      <c r="F29" s="70"/>
      <c r="G29" s="70"/>
      <c r="H29" s="70"/>
      <c r="I29" s="70"/>
      <c r="J29" s="70"/>
      <c r="K29" s="70"/>
      <c r="L29" s="70"/>
      <c r="M29" s="70"/>
      <c r="N29" s="93"/>
      <c r="O29" s="93"/>
    </row>
    <row r="30" spans="1:15" ht="15.75" x14ac:dyDescent="0.2">
      <c r="A30" s="38" t="s">
        <v>331</v>
      </c>
      <c r="B30" s="38"/>
      <c r="C30" s="12"/>
      <c r="D30" s="12"/>
      <c r="E30" s="12"/>
      <c r="F30" s="12"/>
      <c r="G30" s="12"/>
      <c r="H30" s="12"/>
      <c r="I30" s="12"/>
      <c r="J30" s="12"/>
      <c r="K30" s="12"/>
      <c r="L30" s="12"/>
      <c r="M30" s="12"/>
      <c r="N30" s="12"/>
      <c r="O30" s="12"/>
    </row>
    <row r="31" spans="1:15" ht="25.5" x14ac:dyDescent="0.2">
      <c r="A31" s="52" t="s">
        <v>154</v>
      </c>
      <c r="B31" s="240" t="s">
        <v>329</v>
      </c>
      <c r="C31" s="12"/>
      <c r="D31" s="12"/>
      <c r="E31" s="12"/>
      <c r="F31" s="12"/>
      <c r="G31" s="12"/>
      <c r="H31" s="12"/>
      <c r="I31" s="12"/>
      <c r="J31" s="12"/>
      <c r="K31" s="12"/>
      <c r="L31" s="12"/>
      <c r="M31" s="12"/>
      <c r="N31" s="12"/>
      <c r="O31" s="12"/>
    </row>
    <row r="32" spans="1:15" x14ac:dyDescent="0.2">
      <c r="A32" s="1" t="s">
        <v>74</v>
      </c>
      <c r="B32" s="241">
        <v>0.53793644091945836</v>
      </c>
      <c r="C32" s="91"/>
      <c r="D32" s="12"/>
      <c r="E32" s="12"/>
      <c r="F32" s="12"/>
      <c r="G32" s="12"/>
      <c r="H32" s="12"/>
      <c r="I32" s="12"/>
      <c r="J32" s="12"/>
      <c r="K32" s="12"/>
      <c r="L32" s="12"/>
      <c r="M32" s="1"/>
      <c r="N32" s="12"/>
      <c r="O32" s="12"/>
    </row>
    <row r="33" spans="1:15" x14ac:dyDescent="0.2">
      <c r="A33" s="1" t="s">
        <v>67</v>
      </c>
      <c r="B33" s="241">
        <v>0.63656643038494853</v>
      </c>
      <c r="C33" s="5"/>
      <c r="D33" s="12"/>
      <c r="E33" s="12"/>
      <c r="F33" s="12"/>
      <c r="G33" s="12"/>
      <c r="H33" s="12"/>
      <c r="I33" s="12"/>
      <c r="J33" s="12"/>
      <c r="K33" s="12"/>
      <c r="L33" s="12"/>
      <c r="M33" s="1"/>
      <c r="N33" s="12"/>
      <c r="O33" s="12"/>
    </row>
    <row r="34" spans="1:15" x14ac:dyDescent="0.2">
      <c r="A34" s="1" t="s">
        <v>68</v>
      </c>
      <c r="B34" s="241">
        <v>0.46752257981456696</v>
      </c>
      <c r="C34" s="91"/>
      <c r="D34" s="12"/>
      <c r="E34" s="12"/>
      <c r="F34" s="12"/>
      <c r="G34" s="12"/>
      <c r="H34" s="12"/>
      <c r="I34" s="12"/>
      <c r="J34" s="12"/>
      <c r="K34" s="12"/>
      <c r="L34" s="12"/>
      <c r="M34" s="1"/>
      <c r="N34" s="12"/>
      <c r="O34" s="12"/>
    </row>
    <row r="35" spans="1:15" x14ac:dyDescent="0.2">
      <c r="A35" s="1" t="s">
        <v>69</v>
      </c>
      <c r="B35" s="241">
        <v>1.1251944467326382</v>
      </c>
      <c r="C35" s="91"/>
      <c r="D35" s="12"/>
      <c r="E35" s="12"/>
      <c r="F35" s="12"/>
      <c r="G35" s="12"/>
      <c r="H35" s="12"/>
      <c r="I35" s="12"/>
      <c r="J35" s="12"/>
      <c r="K35" s="12"/>
      <c r="L35" s="12"/>
      <c r="M35" s="1"/>
      <c r="N35" s="12"/>
      <c r="O35" s="12"/>
    </row>
    <row r="36" spans="1:15" x14ac:dyDescent="0.2">
      <c r="A36" s="1" t="s">
        <v>70</v>
      </c>
      <c r="B36" s="241">
        <v>1.3167122664914745</v>
      </c>
      <c r="C36" s="91"/>
      <c r="D36" s="12"/>
      <c r="E36" s="12"/>
      <c r="F36" s="12"/>
      <c r="G36" s="12"/>
      <c r="H36" s="12"/>
      <c r="I36" s="12"/>
      <c r="J36" s="12"/>
      <c r="K36" s="12"/>
      <c r="L36" s="12"/>
      <c r="M36" s="1"/>
      <c r="N36" s="12"/>
      <c r="O36" s="12"/>
    </row>
    <row r="37" spans="1:15" x14ac:dyDescent="0.2">
      <c r="A37" s="1" t="s">
        <v>71</v>
      </c>
      <c r="B37" s="241">
        <v>0.89141738648620628</v>
      </c>
      <c r="C37" s="91"/>
      <c r="D37" s="12"/>
      <c r="E37" s="12"/>
      <c r="F37" s="12"/>
      <c r="G37" s="12"/>
      <c r="H37" s="12"/>
      <c r="I37" s="12"/>
      <c r="J37" s="12"/>
      <c r="K37" s="12"/>
      <c r="L37" s="12"/>
      <c r="M37" s="1"/>
      <c r="N37" s="12"/>
      <c r="O37" s="12"/>
    </row>
    <row r="38" spans="1:15" x14ac:dyDescent="0.2">
      <c r="A38" s="1" t="s">
        <v>72</v>
      </c>
      <c r="B38" s="241">
        <v>0.44637292520811089</v>
      </c>
      <c r="C38" s="91"/>
      <c r="D38" s="12"/>
      <c r="E38" s="12"/>
      <c r="F38" s="12"/>
      <c r="G38" s="12"/>
      <c r="H38" s="12"/>
      <c r="I38" s="12"/>
      <c r="J38" s="12"/>
      <c r="K38" s="12"/>
      <c r="L38" s="12"/>
      <c r="M38" s="1"/>
      <c r="N38" s="12"/>
      <c r="O38" s="12"/>
    </row>
    <row r="39" spans="1:15" x14ac:dyDescent="0.2">
      <c r="A39" s="1" t="s">
        <v>73</v>
      </c>
      <c r="B39" s="241">
        <v>0.57576885883607754</v>
      </c>
      <c r="C39" s="91"/>
      <c r="D39" s="12"/>
      <c r="E39" s="12"/>
      <c r="F39" s="12"/>
      <c r="G39" s="12"/>
      <c r="H39" s="12"/>
      <c r="I39" s="12"/>
      <c r="J39" s="12"/>
      <c r="K39" s="12"/>
      <c r="L39" s="12"/>
      <c r="M39" s="1"/>
      <c r="N39" s="12"/>
      <c r="O39" s="12"/>
    </row>
    <row r="40" spans="1:15" x14ac:dyDescent="0.2">
      <c r="A40" s="1" t="s">
        <v>75</v>
      </c>
      <c r="B40" s="241">
        <v>0.97669887652773513</v>
      </c>
      <c r="C40" s="91"/>
      <c r="D40" s="12"/>
      <c r="E40" s="12"/>
      <c r="F40" s="12"/>
      <c r="G40" s="12"/>
      <c r="H40" s="12"/>
      <c r="I40" s="12"/>
      <c r="J40" s="12"/>
      <c r="K40" s="12"/>
      <c r="L40" s="12"/>
      <c r="M40" s="1"/>
      <c r="N40" s="12"/>
      <c r="O40" s="12"/>
    </row>
    <row r="41" spans="1:15" x14ac:dyDescent="0.2">
      <c r="A41" s="1" t="s">
        <v>76</v>
      </c>
      <c r="B41" s="241">
        <v>0.56884452857607226</v>
      </c>
      <c r="C41" s="91"/>
      <c r="D41" s="12"/>
      <c r="E41" s="12"/>
      <c r="F41" s="12"/>
      <c r="G41" s="12"/>
      <c r="H41" s="12"/>
      <c r="I41" s="12"/>
      <c r="J41" s="12"/>
      <c r="K41" s="12"/>
      <c r="L41" s="12"/>
      <c r="M41" s="1"/>
      <c r="N41" s="12"/>
      <c r="O41" s="12"/>
    </row>
    <row r="42" spans="1:15" x14ac:dyDescent="0.2">
      <c r="A42" s="94" t="s">
        <v>36</v>
      </c>
      <c r="B42" s="241">
        <v>0.74114269416075385</v>
      </c>
      <c r="C42" s="91"/>
      <c r="D42" s="12"/>
      <c r="E42" s="12"/>
      <c r="F42" s="12"/>
      <c r="G42" s="12"/>
      <c r="H42" s="12"/>
      <c r="I42" s="12"/>
      <c r="J42" s="12"/>
      <c r="K42" s="12"/>
      <c r="L42" s="12"/>
      <c r="M42" s="12"/>
      <c r="N42" s="12"/>
      <c r="O42" s="12"/>
    </row>
  </sheetData>
  <phoneticPr fontId="19" type="noConversion"/>
  <pageMargins left="0.7" right="0.7" top="0.75" bottom="0.75" header="0.3" footer="0.3"/>
  <tableParts count="2">
    <tablePart r:id="rId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dimension ref="A1:N60"/>
  <sheetViews>
    <sheetView workbookViewId="0">
      <pane xSplit="2" ySplit="3" topLeftCell="C4" activePane="bottomRight" state="frozen"/>
      <selection pane="topRight" activeCell="C1" sqref="C1"/>
      <selection pane="bottomLeft" activeCell="A4" sqref="A4"/>
      <selection pane="bottomRight" activeCell="C4" sqref="C4"/>
    </sheetView>
  </sheetViews>
  <sheetFormatPr defaultColWidth="8.88671875" defaultRowHeight="12.75" x14ac:dyDescent="0.2"/>
  <cols>
    <col min="1" max="1" width="22.44140625" style="1" customWidth="1"/>
    <col min="2" max="2" width="17.33203125" style="1" customWidth="1"/>
    <col min="3" max="11" width="8.6640625" style="12" customWidth="1"/>
    <col min="12" max="13" width="8.88671875" style="12"/>
    <col min="14" max="16384" width="8.88671875" style="1"/>
  </cols>
  <sheetData>
    <row r="1" spans="1:14" ht="15.75" x14ac:dyDescent="0.2">
      <c r="A1" s="38" t="s">
        <v>294</v>
      </c>
      <c r="B1" s="38"/>
    </row>
    <row r="2" spans="1:14" ht="15" x14ac:dyDescent="0.2">
      <c r="A2" s="4" t="s">
        <v>143</v>
      </c>
      <c r="B2" s="4"/>
      <c r="D2" s="50"/>
      <c r="E2" s="50"/>
      <c r="F2" s="50"/>
      <c r="G2" s="50"/>
      <c r="H2" s="50"/>
      <c r="I2" s="50"/>
      <c r="J2" s="50"/>
      <c r="K2" s="50"/>
      <c r="L2" s="50"/>
      <c r="M2" s="50"/>
    </row>
    <row r="3" spans="1:14" s="17" customFormat="1" ht="15" customHeight="1" x14ac:dyDescent="0.2">
      <c r="A3" s="52" t="s">
        <v>334</v>
      </c>
      <c r="B3" s="52" t="s">
        <v>154</v>
      </c>
      <c r="C3" s="58" t="s">
        <v>113</v>
      </c>
      <c r="D3" s="58" t="s">
        <v>114</v>
      </c>
      <c r="E3" s="58" t="s">
        <v>115</v>
      </c>
      <c r="F3" s="58" t="s">
        <v>116</v>
      </c>
      <c r="G3" s="58" t="s">
        <v>117</v>
      </c>
      <c r="H3" s="58" t="s">
        <v>118</v>
      </c>
      <c r="I3" s="58" t="s">
        <v>119</v>
      </c>
      <c r="J3" s="58" t="s">
        <v>120</v>
      </c>
      <c r="K3" s="58" t="s">
        <v>164</v>
      </c>
      <c r="L3" s="58" t="s">
        <v>187</v>
      </c>
      <c r="M3" s="58" t="s">
        <v>236</v>
      </c>
    </row>
    <row r="4" spans="1:14" ht="15" customHeight="1" x14ac:dyDescent="0.2">
      <c r="A4" s="96" t="s">
        <v>62</v>
      </c>
      <c r="B4" s="96" t="s">
        <v>67</v>
      </c>
      <c r="C4" s="177">
        <v>2</v>
      </c>
      <c r="D4" s="177">
        <v>2.6666666666666665</v>
      </c>
      <c r="E4" s="177">
        <v>6</v>
      </c>
      <c r="F4" s="177">
        <v>2.9166666666666665</v>
      </c>
      <c r="G4" s="177">
        <v>2.5</v>
      </c>
      <c r="H4" s="177">
        <v>3</v>
      </c>
      <c r="I4" s="177">
        <v>2.75</v>
      </c>
      <c r="J4" s="177">
        <v>1.9166666666666667</v>
      </c>
      <c r="K4" s="177">
        <v>1</v>
      </c>
      <c r="L4" s="178">
        <v>1.5</v>
      </c>
      <c r="M4" s="178">
        <v>2.3333333333333335</v>
      </c>
    </row>
    <row r="5" spans="1:14" ht="15" customHeight="1" x14ac:dyDescent="0.2">
      <c r="A5" s="96" t="s">
        <v>62</v>
      </c>
      <c r="B5" s="96" t="s">
        <v>68</v>
      </c>
      <c r="C5" s="177">
        <v>6.25</v>
      </c>
      <c r="D5" s="177">
        <v>5.416666666666667</v>
      </c>
      <c r="E5" s="177">
        <v>4.666666666666667</v>
      </c>
      <c r="F5" s="177">
        <v>5</v>
      </c>
      <c r="G5" s="177">
        <v>7.416666666666667</v>
      </c>
      <c r="H5" s="177">
        <v>4.5</v>
      </c>
      <c r="I5" s="177">
        <v>2.75</v>
      </c>
      <c r="J5" s="177">
        <v>3.4166666666666665</v>
      </c>
      <c r="K5" s="177">
        <v>3.3333333333333335</v>
      </c>
      <c r="L5" s="178">
        <v>4.5</v>
      </c>
      <c r="M5" s="178">
        <v>3.4166666666666665</v>
      </c>
    </row>
    <row r="6" spans="1:14" ht="15" customHeight="1" x14ac:dyDescent="0.2">
      <c r="A6" s="96" t="s">
        <v>62</v>
      </c>
      <c r="B6" s="96" t="s">
        <v>69</v>
      </c>
      <c r="C6" s="177">
        <v>32.666666666666664</v>
      </c>
      <c r="D6" s="177">
        <v>34.666666666666664</v>
      </c>
      <c r="E6" s="177">
        <v>27.75</v>
      </c>
      <c r="F6" s="177">
        <v>27.916666666666668</v>
      </c>
      <c r="G6" s="177">
        <v>24.75</v>
      </c>
      <c r="H6" s="177">
        <v>25</v>
      </c>
      <c r="I6" s="177">
        <v>19.833333333333332</v>
      </c>
      <c r="J6" s="177">
        <v>13.5</v>
      </c>
      <c r="K6" s="177">
        <v>12.083333333333334</v>
      </c>
      <c r="L6" s="178">
        <v>12</v>
      </c>
      <c r="M6" s="178">
        <v>14.416666666666666</v>
      </c>
    </row>
    <row r="7" spans="1:14" ht="15" customHeight="1" x14ac:dyDescent="0.2">
      <c r="A7" s="96" t="s">
        <v>62</v>
      </c>
      <c r="B7" s="96" t="s">
        <v>70</v>
      </c>
      <c r="C7" s="177">
        <v>0.58333333333333337</v>
      </c>
      <c r="D7" s="177">
        <v>1.75</v>
      </c>
      <c r="E7" s="177">
        <v>1.3333333333333333</v>
      </c>
      <c r="F7" s="177">
        <v>0.75</v>
      </c>
      <c r="G7" s="177">
        <v>0</v>
      </c>
      <c r="H7" s="177">
        <v>0</v>
      </c>
      <c r="I7" s="177">
        <v>0.66666666666666663</v>
      </c>
      <c r="J7" s="177">
        <v>1</v>
      </c>
      <c r="K7" s="177">
        <v>1.3333333333333333</v>
      </c>
      <c r="L7" s="178">
        <v>0.66666666666666663</v>
      </c>
      <c r="M7" s="178">
        <v>0.41666666666666669</v>
      </c>
    </row>
    <row r="8" spans="1:14" ht="15" customHeight="1" x14ac:dyDescent="0.2">
      <c r="A8" s="96" t="s">
        <v>62</v>
      </c>
      <c r="B8" s="96" t="s">
        <v>71</v>
      </c>
      <c r="C8" s="177">
        <v>8.4166666666666661</v>
      </c>
      <c r="D8" s="177">
        <v>11.583333333333334</v>
      </c>
      <c r="E8" s="177">
        <v>13.5</v>
      </c>
      <c r="F8" s="177">
        <v>8.8333333333333339</v>
      </c>
      <c r="G8" s="177">
        <v>8.9166666666666661</v>
      </c>
      <c r="H8" s="177">
        <v>12.666666666666666</v>
      </c>
      <c r="I8" s="177">
        <v>7.5</v>
      </c>
      <c r="J8" s="177">
        <v>4.75</v>
      </c>
      <c r="K8" s="177">
        <v>7.083333333333333</v>
      </c>
      <c r="L8" s="178">
        <v>4.583333333333333</v>
      </c>
      <c r="M8" s="178">
        <v>8.4166666666666661</v>
      </c>
    </row>
    <row r="9" spans="1:14" ht="15" customHeight="1" x14ac:dyDescent="0.2">
      <c r="A9" s="96" t="s">
        <v>62</v>
      </c>
      <c r="B9" s="96" t="s">
        <v>72</v>
      </c>
      <c r="C9" s="177">
        <v>7.083333333333333</v>
      </c>
      <c r="D9" s="177">
        <v>7.083333333333333</v>
      </c>
      <c r="E9" s="177">
        <v>3.4166666666666665</v>
      </c>
      <c r="F9" s="177">
        <v>3.5</v>
      </c>
      <c r="G9" s="177">
        <v>4.083333333333333</v>
      </c>
      <c r="H9" s="177">
        <v>4.083333333333333</v>
      </c>
      <c r="I9" s="177">
        <v>4.75</v>
      </c>
      <c r="J9" s="177">
        <v>3.25</v>
      </c>
      <c r="K9" s="177">
        <v>1.5833333333333333</v>
      </c>
      <c r="L9" s="178">
        <v>0.41666666666666669</v>
      </c>
      <c r="M9" s="178">
        <v>3.4166666666666665</v>
      </c>
    </row>
    <row r="10" spans="1:14" ht="15" customHeight="1" x14ac:dyDescent="0.2">
      <c r="A10" s="96" t="s">
        <v>62</v>
      </c>
      <c r="B10" s="96" t="s">
        <v>73</v>
      </c>
      <c r="C10" s="177">
        <v>8.3333333333333329E-2</v>
      </c>
      <c r="D10" s="177">
        <v>1.25</v>
      </c>
      <c r="E10" s="177">
        <v>0.58333333333333337</v>
      </c>
      <c r="F10" s="177">
        <v>1</v>
      </c>
      <c r="G10" s="177">
        <v>0.66666666666666663</v>
      </c>
      <c r="H10" s="177">
        <v>1</v>
      </c>
      <c r="I10" s="177">
        <v>1.1666666666666667</v>
      </c>
      <c r="J10" s="177">
        <v>0.33333333333333331</v>
      </c>
      <c r="K10" s="177">
        <v>0.66666666666666663</v>
      </c>
      <c r="L10" s="178">
        <v>0.91666666666666663</v>
      </c>
      <c r="M10" s="178">
        <v>1.3333333333333333</v>
      </c>
    </row>
    <row r="11" spans="1:14" ht="15" customHeight="1" x14ac:dyDescent="0.2">
      <c r="A11" s="96" t="s">
        <v>62</v>
      </c>
      <c r="B11" s="96" t="s">
        <v>74</v>
      </c>
      <c r="C11" s="177">
        <v>2.0833333333333335</v>
      </c>
      <c r="D11" s="177">
        <v>0.83333333333333337</v>
      </c>
      <c r="E11" s="177">
        <v>2.0833333333333335</v>
      </c>
      <c r="F11" s="177">
        <v>2.1666666666666665</v>
      </c>
      <c r="G11" s="177">
        <v>0.5</v>
      </c>
      <c r="H11" s="177">
        <v>0.91666666666666663</v>
      </c>
      <c r="I11" s="177">
        <v>0.25</v>
      </c>
      <c r="J11" s="177">
        <v>0.25</v>
      </c>
      <c r="K11" s="177">
        <v>0.83333333333333337</v>
      </c>
      <c r="L11" s="178">
        <v>1.25</v>
      </c>
      <c r="M11" s="178">
        <v>2.1666666666666665</v>
      </c>
    </row>
    <row r="12" spans="1:14" ht="15" customHeight="1" x14ac:dyDescent="0.2">
      <c r="A12" s="96" t="s">
        <v>62</v>
      </c>
      <c r="B12" s="96" t="s">
        <v>75</v>
      </c>
      <c r="C12" s="177">
        <v>15.5</v>
      </c>
      <c r="D12" s="177">
        <v>21.666666666666668</v>
      </c>
      <c r="E12" s="177">
        <v>20.5</v>
      </c>
      <c r="F12" s="177">
        <v>19.333333333333332</v>
      </c>
      <c r="G12" s="177">
        <v>17.166666666666668</v>
      </c>
      <c r="H12" s="177">
        <v>19.75</v>
      </c>
      <c r="I12" s="177">
        <v>10.5</v>
      </c>
      <c r="J12" s="177">
        <v>5.666666666666667</v>
      </c>
      <c r="K12" s="177">
        <v>10.25</v>
      </c>
      <c r="L12" s="178">
        <v>8.25</v>
      </c>
      <c r="M12" s="178">
        <v>10.333333333333334</v>
      </c>
    </row>
    <row r="13" spans="1:14" ht="15" customHeight="1" x14ac:dyDescent="0.2">
      <c r="A13" s="96" t="s">
        <v>62</v>
      </c>
      <c r="B13" s="96" t="s">
        <v>76</v>
      </c>
      <c r="C13" s="177">
        <v>14.833333333333334</v>
      </c>
      <c r="D13" s="177">
        <v>12.666666666666666</v>
      </c>
      <c r="E13" s="177">
        <v>9.75</v>
      </c>
      <c r="F13" s="177">
        <v>11.666666666666666</v>
      </c>
      <c r="G13" s="177">
        <v>9.8333333333333339</v>
      </c>
      <c r="H13" s="177">
        <v>9.4166666666666661</v>
      </c>
      <c r="I13" s="177">
        <v>3.8333333333333335</v>
      </c>
      <c r="J13" s="177">
        <v>6.75</v>
      </c>
      <c r="K13" s="177">
        <v>5.166666666666667</v>
      </c>
      <c r="L13" s="178">
        <v>4.666666666666667</v>
      </c>
      <c r="M13" s="178">
        <v>3.8333333333333335</v>
      </c>
    </row>
    <row r="14" spans="1:14" ht="15" customHeight="1" x14ac:dyDescent="0.2">
      <c r="A14" s="98" t="s">
        <v>62</v>
      </c>
      <c r="B14" s="98" t="s">
        <v>36</v>
      </c>
      <c r="C14" s="179">
        <v>89.5</v>
      </c>
      <c r="D14" s="179">
        <v>99.583333333333343</v>
      </c>
      <c r="E14" s="179">
        <v>89.583333333333343</v>
      </c>
      <c r="F14" s="179">
        <v>83.083333333333343</v>
      </c>
      <c r="G14" s="179">
        <v>75.833333333333329</v>
      </c>
      <c r="H14" s="179">
        <v>80.333333333333329</v>
      </c>
      <c r="I14" s="179">
        <v>54</v>
      </c>
      <c r="J14" s="179">
        <v>40.833333333333329</v>
      </c>
      <c r="K14" s="179">
        <v>43.333333333333329</v>
      </c>
      <c r="L14" s="179">
        <v>38.75</v>
      </c>
      <c r="M14" s="179">
        <v>50.083333333333336</v>
      </c>
      <c r="N14" s="257"/>
    </row>
    <row r="15" spans="1:14" ht="15" customHeight="1" x14ac:dyDescent="0.2">
      <c r="A15" s="180" t="s">
        <v>63</v>
      </c>
      <c r="B15" s="180" t="s">
        <v>67</v>
      </c>
      <c r="C15" s="181">
        <v>7.916666666666667</v>
      </c>
      <c r="D15" s="181">
        <v>6.75</v>
      </c>
      <c r="E15" s="181">
        <v>6.5</v>
      </c>
      <c r="F15" s="181">
        <v>11.333333333333334</v>
      </c>
      <c r="G15" s="181">
        <v>12.25</v>
      </c>
      <c r="H15" s="181">
        <v>8.75</v>
      </c>
      <c r="I15" s="181">
        <v>8.75</v>
      </c>
      <c r="J15" s="181">
        <v>7.416666666666667</v>
      </c>
      <c r="K15" s="181">
        <v>9.75</v>
      </c>
      <c r="L15" s="182">
        <v>5.916666666666667</v>
      </c>
      <c r="M15" s="182">
        <v>4.333333333333333</v>
      </c>
    </row>
    <row r="16" spans="1:14" ht="15" customHeight="1" x14ac:dyDescent="0.2">
      <c r="A16" s="96" t="s">
        <v>63</v>
      </c>
      <c r="B16" s="96" t="s">
        <v>68</v>
      </c>
      <c r="C16" s="177">
        <v>9</v>
      </c>
      <c r="D16" s="177">
        <v>7.666666666666667</v>
      </c>
      <c r="E16" s="177">
        <v>10.25</v>
      </c>
      <c r="F16" s="177">
        <v>10.333333333333334</v>
      </c>
      <c r="G16" s="177">
        <v>17.25</v>
      </c>
      <c r="H16" s="177">
        <v>18.333333333333332</v>
      </c>
      <c r="I16" s="177">
        <v>11.5</v>
      </c>
      <c r="J16" s="177">
        <v>5.666666666666667</v>
      </c>
      <c r="K16" s="177">
        <v>7.083333333333333</v>
      </c>
      <c r="L16" s="178">
        <v>4</v>
      </c>
      <c r="M16" s="178">
        <v>5.75</v>
      </c>
    </row>
    <row r="17" spans="1:13" ht="15" customHeight="1" x14ac:dyDescent="0.2">
      <c r="A17" s="96" t="s">
        <v>63</v>
      </c>
      <c r="B17" s="96" t="s">
        <v>69</v>
      </c>
      <c r="C17" s="177">
        <v>151.66666666666666</v>
      </c>
      <c r="D17" s="177">
        <v>132.66666666666666</v>
      </c>
      <c r="E17" s="177">
        <v>134.25</v>
      </c>
      <c r="F17" s="177">
        <v>140.58333333333334</v>
      </c>
      <c r="G17" s="177">
        <v>141.58333333333334</v>
      </c>
      <c r="H17" s="177">
        <v>131.58333333333334</v>
      </c>
      <c r="I17" s="177">
        <v>90.25</v>
      </c>
      <c r="J17" s="177">
        <v>69.916666666666671</v>
      </c>
      <c r="K17" s="177">
        <v>57.916666666666664</v>
      </c>
      <c r="L17" s="178">
        <v>51.416666666666664</v>
      </c>
      <c r="M17" s="178">
        <v>47.416666666666664</v>
      </c>
    </row>
    <row r="18" spans="1:13" ht="15" customHeight="1" x14ac:dyDescent="0.2">
      <c r="A18" s="96" t="s">
        <v>63</v>
      </c>
      <c r="B18" s="96" t="s">
        <v>70</v>
      </c>
      <c r="C18" s="177">
        <v>2.5833333333333335</v>
      </c>
      <c r="D18" s="177">
        <v>0.5</v>
      </c>
      <c r="E18" s="177">
        <v>0.58333333333333337</v>
      </c>
      <c r="F18" s="177">
        <v>1.5833333333333333</v>
      </c>
      <c r="G18" s="177">
        <v>0.25</v>
      </c>
      <c r="H18" s="177">
        <v>0</v>
      </c>
      <c r="I18" s="177">
        <v>0</v>
      </c>
      <c r="J18" s="177">
        <v>0</v>
      </c>
      <c r="K18" s="177">
        <v>0</v>
      </c>
      <c r="L18" s="178">
        <v>1</v>
      </c>
      <c r="M18" s="178">
        <v>0</v>
      </c>
    </row>
    <row r="19" spans="1:13" ht="15" customHeight="1" x14ac:dyDescent="0.2">
      <c r="A19" s="96" t="s">
        <v>63</v>
      </c>
      <c r="B19" s="96" t="s">
        <v>71</v>
      </c>
      <c r="C19" s="177">
        <v>8.8333333333333339</v>
      </c>
      <c r="D19" s="177">
        <v>10.583333333333334</v>
      </c>
      <c r="E19" s="177">
        <v>10.25</v>
      </c>
      <c r="F19" s="177">
        <v>12.416666666666666</v>
      </c>
      <c r="G19" s="177">
        <v>15.583333333333334</v>
      </c>
      <c r="H19" s="177">
        <v>9.0833333333333339</v>
      </c>
      <c r="I19" s="177">
        <v>8</v>
      </c>
      <c r="J19" s="177">
        <v>7.666666666666667</v>
      </c>
      <c r="K19" s="177">
        <v>10.833333333333334</v>
      </c>
      <c r="L19" s="178">
        <v>8.1666666666666661</v>
      </c>
      <c r="M19" s="178">
        <v>7</v>
      </c>
    </row>
    <row r="20" spans="1:13" ht="15" customHeight="1" x14ac:dyDescent="0.2">
      <c r="A20" s="96" t="s">
        <v>63</v>
      </c>
      <c r="B20" s="96" t="s">
        <v>72</v>
      </c>
      <c r="C20" s="177">
        <v>6</v>
      </c>
      <c r="D20" s="177">
        <v>6.5</v>
      </c>
      <c r="E20" s="177">
        <v>7.25</v>
      </c>
      <c r="F20" s="177">
        <v>9.0833333333333339</v>
      </c>
      <c r="G20" s="177">
        <v>9.1666666666666661</v>
      </c>
      <c r="H20" s="177">
        <v>8.8333333333333339</v>
      </c>
      <c r="I20" s="177">
        <v>8</v>
      </c>
      <c r="J20" s="177">
        <v>6.416666666666667</v>
      </c>
      <c r="K20" s="177">
        <v>7.166666666666667</v>
      </c>
      <c r="L20" s="178">
        <v>5.416666666666667</v>
      </c>
      <c r="M20" s="178">
        <v>3.6666666666666665</v>
      </c>
    </row>
    <row r="21" spans="1:13" ht="15" customHeight="1" x14ac:dyDescent="0.2">
      <c r="A21" s="96" t="s">
        <v>63</v>
      </c>
      <c r="B21" s="96" t="s">
        <v>73</v>
      </c>
      <c r="C21" s="177">
        <v>2.0833333333333335</v>
      </c>
      <c r="D21" s="177">
        <v>6.416666666666667</v>
      </c>
      <c r="E21" s="177">
        <v>4.583333333333333</v>
      </c>
      <c r="F21" s="177">
        <v>3.0833333333333335</v>
      </c>
      <c r="G21" s="177">
        <v>4.916666666666667</v>
      </c>
      <c r="H21" s="177">
        <v>6</v>
      </c>
      <c r="I21" s="177">
        <v>2.3333333333333335</v>
      </c>
      <c r="J21" s="177">
        <v>2.25</v>
      </c>
      <c r="K21" s="177">
        <v>2.0833333333333335</v>
      </c>
      <c r="L21" s="178">
        <v>2</v>
      </c>
      <c r="M21" s="178">
        <v>4.083333333333333</v>
      </c>
    </row>
    <row r="22" spans="1:13" ht="15" customHeight="1" x14ac:dyDescent="0.2">
      <c r="A22" s="96" t="s">
        <v>63</v>
      </c>
      <c r="B22" s="96" t="s">
        <v>74</v>
      </c>
      <c r="C22" s="177">
        <v>0.91666666666666663</v>
      </c>
      <c r="D22" s="177">
        <v>0.5</v>
      </c>
      <c r="E22" s="177">
        <v>0.58333333333333337</v>
      </c>
      <c r="F22" s="177">
        <v>0.5</v>
      </c>
      <c r="G22" s="177">
        <v>1.8333333333333333</v>
      </c>
      <c r="H22" s="177">
        <v>1.4166666666666667</v>
      </c>
      <c r="I22" s="177">
        <v>1.5</v>
      </c>
      <c r="J22" s="177">
        <v>1.25</v>
      </c>
      <c r="K22" s="177">
        <v>0.58333333333333337</v>
      </c>
      <c r="L22" s="178">
        <v>0</v>
      </c>
      <c r="M22" s="178">
        <v>0</v>
      </c>
    </row>
    <row r="23" spans="1:13" ht="15" customHeight="1" x14ac:dyDescent="0.2">
      <c r="A23" s="96" t="s">
        <v>63</v>
      </c>
      <c r="B23" s="96" t="s">
        <v>75</v>
      </c>
      <c r="C23" s="177">
        <v>23.5</v>
      </c>
      <c r="D23" s="177">
        <v>28.333333333333332</v>
      </c>
      <c r="E23" s="177">
        <v>25.25</v>
      </c>
      <c r="F23" s="177">
        <v>36.166666666666664</v>
      </c>
      <c r="G23" s="177">
        <v>34.583333333333336</v>
      </c>
      <c r="H23" s="177">
        <v>27.916666666666668</v>
      </c>
      <c r="I23" s="177">
        <v>26.916666666666668</v>
      </c>
      <c r="J23" s="177">
        <v>21.25</v>
      </c>
      <c r="K23" s="177">
        <v>13.666666666666666</v>
      </c>
      <c r="L23" s="178">
        <v>14.25</v>
      </c>
      <c r="M23" s="178">
        <v>8.1666666666666661</v>
      </c>
    </row>
    <row r="24" spans="1:13" ht="15" customHeight="1" x14ac:dyDescent="0.2">
      <c r="A24" s="96" t="s">
        <v>63</v>
      </c>
      <c r="B24" s="96" t="s">
        <v>76</v>
      </c>
      <c r="C24" s="177">
        <v>6.166666666666667</v>
      </c>
      <c r="D24" s="177">
        <v>4.833333333333333</v>
      </c>
      <c r="E24" s="177">
        <v>3.4166666666666665</v>
      </c>
      <c r="F24" s="177">
        <v>1.1666666666666667</v>
      </c>
      <c r="G24" s="177">
        <v>1.5833333333333333</v>
      </c>
      <c r="H24" s="177">
        <v>4.333333333333333</v>
      </c>
      <c r="I24" s="177">
        <v>3.6666666666666665</v>
      </c>
      <c r="J24" s="177">
        <v>2</v>
      </c>
      <c r="K24" s="177">
        <v>3.1666666666666665</v>
      </c>
      <c r="L24" s="178">
        <v>7.5</v>
      </c>
      <c r="M24" s="178">
        <v>8.25</v>
      </c>
    </row>
    <row r="25" spans="1:13" ht="15" customHeight="1" x14ac:dyDescent="0.2">
      <c r="A25" s="98" t="s">
        <v>63</v>
      </c>
      <c r="B25" s="98" t="s">
        <v>36</v>
      </c>
      <c r="C25" s="179">
        <v>218.66666666666666</v>
      </c>
      <c r="D25" s="179">
        <v>204.75</v>
      </c>
      <c r="E25" s="179">
        <v>202.91666666666669</v>
      </c>
      <c r="F25" s="179">
        <v>226.25</v>
      </c>
      <c r="G25" s="179">
        <v>239.00000000000003</v>
      </c>
      <c r="H25" s="179">
        <v>216.25000000000003</v>
      </c>
      <c r="I25" s="179">
        <v>160.91666666666666</v>
      </c>
      <c r="J25" s="179">
        <v>123.83333333333334</v>
      </c>
      <c r="K25" s="179">
        <v>112.25</v>
      </c>
      <c r="L25" s="179">
        <v>99.666666666666671</v>
      </c>
      <c r="M25" s="179">
        <v>88.666666666666671</v>
      </c>
    </row>
    <row r="26" spans="1:13" ht="15" customHeight="1" x14ac:dyDescent="0.2">
      <c r="A26" s="180" t="s">
        <v>64</v>
      </c>
      <c r="B26" s="180" t="s">
        <v>67</v>
      </c>
      <c r="C26" s="181">
        <v>7.416666666666667</v>
      </c>
      <c r="D26" s="181">
        <v>6.25</v>
      </c>
      <c r="E26" s="181">
        <v>10</v>
      </c>
      <c r="F26" s="181">
        <v>8.0833333333333339</v>
      </c>
      <c r="G26" s="181">
        <v>7.333333333333333</v>
      </c>
      <c r="H26" s="181">
        <v>6.583333333333333</v>
      </c>
      <c r="I26" s="181">
        <v>4.333333333333333</v>
      </c>
      <c r="J26" s="181">
        <v>6.166666666666667</v>
      </c>
      <c r="K26" s="181">
        <v>6.583333333333333</v>
      </c>
      <c r="L26" s="182">
        <v>5.25</v>
      </c>
      <c r="M26" s="182">
        <v>6.416666666666667</v>
      </c>
    </row>
    <row r="27" spans="1:13" ht="15" customHeight="1" x14ac:dyDescent="0.2">
      <c r="A27" s="96" t="s">
        <v>64</v>
      </c>
      <c r="B27" s="96" t="s">
        <v>68</v>
      </c>
      <c r="C27" s="177">
        <v>9</v>
      </c>
      <c r="D27" s="177">
        <v>7.333333333333333</v>
      </c>
      <c r="E27" s="177">
        <v>4.833333333333333</v>
      </c>
      <c r="F27" s="177">
        <v>7</v>
      </c>
      <c r="G27" s="177">
        <v>12</v>
      </c>
      <c r="H27" s="177">
        <v>9.0833333333333339</v>
      </c>
      <c r="I27" s="177">
        <v>9.5833333333333339</v>
      </c>
      <c r="J27" s="177">
        <v>6.416666666666667</v>
      </c>
      <c r="K27" s="177">
        <v>5.666666666666667</v>
      </c>
      <c r="L27" s="178">
        <v>6.166666666666667</v>
      </c>
      <c r="M27" s="178">
        <v>2.4166666666666665</v>
      </c>
    </row>
    <row r="28" spans="1:13" ht="15" customHeight="1" x14ac:dyDescent="0.2">
      <c r="A28" s="96" t="s">
        <v>64</v>
      </c>
      <c r="B28" s="96" t="s">
        <v>69</v>
      </c>
      <c r="C28" s="177">
        <v>46.583333333333336</v>
      </c>
      <c r="D28" s="177">
        <v>40</v>
      </c>
      <c r="E28" s="177">
        <v>39.333333333333336</v>
      </c>
      <c r="F28" s="177">
        <v>30.166666666666668</v>
      </c>
      <c r="G28" s="177">
        <v>26.416666666666668</v>
      </c>
      <c r="H28" s="177">
        <v>29.416666666666668</v>
      </c>
      <c r="I28" s="177">
        <v>20.75</v>
      </c>
      <c r="J28" s="177">
        <v>17.5</v>
      </c>
      <c r="K28" s="177">
        <v>13.833333333333334</v>
      </c>
      <c r="L28" s="178">
        <v>18.75</v>
      </c>
      <c r="M28" s="178">
        <v>18.166666666666668</v>
      </c>
    </row>
    <row r="29" spans="1:13" ht="15" customHeight="1" x14ac:dyDescent="0.2">
      <c r="A29" s="96" t="s">
        <v>64</v>
      </c>
      <c r="B29" s="96" t="s">
        <v>70</v>
      </c>
      <c r="C29" s="177">
        <v>0.41666666666666669</v>
      </c>
      <c r="D29" s="177">
        <v>0</v>
      </c>
      <c r="E29" s="177">
        <v>0.33333333333333331</v>
      </c>
      <c r="F29" s="177">
        <v>0.33333333333333331</v>
      </c>
      <c r="G29" s="177">
        <v>0.83333333333333337</v>
      </c>
      <c r="H29" s="177">
        <v>0</v>
      </c>
      <c r="I29" s="177">
        <v>0.83333333333333337</v>
      </c>
      <c r="J29" s="177">
        <v>1.1666666666666667</v>
      </c>
      <c r="K29" s="177">
        <v>1.5</v>
      </c>
      <c r="L29" s="178">
        <v>0.91666666666666663</v>
      </c>
      <c r="M29" s="178">
        <v>0.16666666666666666</v>
      </c>
    </row>
    <row r="30" spans="1:13" ht="15" customHeight="1" x14ac:dyDescent="0.2">
      <c r="A30" s="96" t="s">
        <v>64</v>
      </c>
      <c r="B30" s="96" t="s">
        <v>71</v>
      </c>
      <c r="C30" s="177">
        <v>8.6666666666666661</v>
      </c>
      <c r="D30" s="177">
        <v>10.833333333333334</v>
      </c>
      <c r="E30" s="177">
        <v>11</v>
      </c>
      <c r="F30" s="177">
        <v>8.9166666666666661</v>
      </c>
      <c r="G30" s="177">
        <v>10.166666666666666</v>
      </c>
      <c r="H30" s="177">
        <v>11.333333333333334</v>
      </c>
      <c r="I30" s="177">
        <v>5.166666666666667</v>
      </c>
      <c r="J30" s="177">
        <v>5.083333333333333</v>
      </c>
      <c r="K30" s="177">
        <v>6.916666666666667</v>
      </c>
      <c r="L30" s="178">
        <v>7.166666666666667</v>
      </c>
      <c r="M30" s="178">
        <v>8.9166666666666661</v>
      </c>
    </row>
    <row r="31" spans="1:13" ht="15" customHeight="1" x14ac:dyDescent="0.2">
      <c r="A31" s="96" t="s">
        <v>64</v>
      </c>
      <c r="B31" s="96" t="s">
        <v>72</v>
      </c>
      <c r="C31" s="177">
        <v>8.25</v>
      </c>
      <c r="D31" s="177">
        <v>7.25</v>
      </c>
      <c r="E31" s="177">
        <v>6.5</v>
      </c>
      <c r="F31" s="177">
        <v>6.333333333333333</v>
      </c>
      <c r="G31" s="177">
        <v>6.833333333333333</v>
      </c>
      <c r="H31" s="177">
        <v>9.6666666666666661</v>
      </c>
      <c r="I31" s="177">
        <v>8.9166666666666661</v>
      </c>
      <c r="J31" s="177">
        <v>7.25</v>
      </c>
      <c r="K31" s="177">
        <v>10.583333333333334</v>
      </c>
      <c r="L31" s="178">
        <v>12.25</v>
      </c>
      <c r="M31" s="178">
        <v>9.6666666666666661</v>
      </c>
    </row>
    <row r="32" spans="1:13" ht="15" customHeight="1" x14ac:dyDescent="0.2">
      <c r="A32" s="96" t="s">
        <v>64</v>
      </c>
      <c r="B32" s="96" t="s">
        <v>73</v>
      </c>
      <c r="C32" s="177">
        <v>1.8333333333333333</v>
      </c>
      <c r="D32" s="177">
        <v>3.4166666666666665</v>
      </c>
      <c r="E32" s="177">
        <v>4.25</v>
      </c>
      <c r="F32" s="177">
        <v>4.5</v>
      </c>
      <c r="G32" s="177">
        <v>4.083333333333333</v>
      </c>
      <c r="H32" s="177">
        <v>4.75</v>
      </c>
      <c r="I32" s="177">
        <v>4.75</v>
      </c>
      <c r="J32" s="177">
        <v>5.416666666666667</v>
      </c>
      <c r="K32" s="177">
        <v>5.083333333333333</v>
      </c>
      <c r="L32" s="178">
        <v>4.833333333333333</v>
      </c>
      <c r="M32" s="178">
        <v>4.083333333333333</v>
      </c>
    </row>
    <row r="33" spans="1:13" ht="15" customHeight="1" x14ac:dyDescent="0.2">
      <c r="A33" s="96" t="s">
        <v>64</v>
      </c>
      <c r="B33" s="96" t="s">
        <v>74</v>
      </c>
      <c r="C33" s="177">
        <v>2.4166666666666665</v>
      </c>
      <c r="D33" s="177">
        <v>1.5833333333333333</v>
      </c>
      <c r="E33" s="177">
        <v>1.9166666666666667</v>
      </c>
      <c r="F33" s="177">
        <v>4.5</v>
      </c>
      <c r="G33" s="177">
        <v>4.5</v>
      </c>
      <c r="H33" s="177">
        <v>0.66666666666666663</v>
      </c>
      <c r="I33" s="177">
        <v>1</v>
      </c>
      <c r="J33" s="177">
        <v>0.25</v>
      </c>
      <c r="K33" s="177">
        <v>0.33333333333333331</v>
      </c>
      <c r="L33" s="178">
        <v>0</v>
      </c>
      <c r="M33" s="178">
        <v>1.5</v>
      </c>
    </row>
    <row r="34" spans="1:13" ht="15" customHeight="1" x14ac:dyDescent="0.2">
      <c r="A34" s="96" t="s">
        <v>64</v>
      </c>
      <c r="B34" s="96" t="s">
        <v>75</v>
      </c>
      <c r="C34" s="177">
        <v>11.916666666666666</v>
      </c>
      <c r="D34" s="177">
        <v>10.583333333333334</v>
      </c>
      <c r="E34" s="177">
        <v>10.5</v>
      </c>
      <c r="F34" s="177">
        <v>15.166666666666666</v>
      </c>
      <c r="G34" s="177">
        <v>18</v>
      </c>
      <c r="H34" s="177">
        <v>17.5</v>
      </c>
      <c r="I34" s="177">
        <v>15.416666666666666</v>
      </c>
      <c r="J34" s="177">
        <v>13.333333333333334</v>
      </c>
      <c r="K34" s="177">
        <v>7.333333333333333</v>
      </c>
      <c r="L34" s="178">
        <v>13.083333333333334</v>
      </c>
      <c r="M34" s="178">
        <v>16.166666666666668</v>
      </c>
    </row>
    <row r="35" spans="1:13" ht="15" customHeight="1" x14ac:dyDescent="0.2">
      <c r="A35" s="96" t="s">
        <v>64</v>
      </c>
      <c r="B35" s="96" t="s">
        <v>76</v>
      </c>
      <c r="C35" s="177">
        <v>4.583333333333333</v>
      </c>
      <c r="D35" s="177">
        <v>7.083333333333333</v>
      </c>
      <c r="E35" s="177">
        <v>9</v>
      </c>
      <c r="F35" s="177">
        <v>8.25</v>
      </c>
      <c r="G35" s="177">
        <v>10.083333333333334</v>
      </c>
      <c r="H35" s="177">
        <v>8.3333333333333339</v>
      </c>
      <c r="I35" s="177">
        <v>6.333333333333333</v>
      </c>
      <c r="J35" s="177">
        <v>4.333333333333333</v>
      </c>
      <c r="K35" s="177">
        <v>6.083333333333333</v>
      </c>
      <c r="L35" s="178">
        <v>6.25</v>
      </c>
      <c r="M35" s="178">
        <v>4.333333333333333</v>
      </c>
    </row>
    <row r="36" spans="1:13" ht="15" customHeight="1" x14ac:dyDescent="0.2">
      <c r="A36" s="98" t="s">
        <v>64</v>
      </c>
      <c r="B36" s="98" t="s">
        <v>36</v>
      </c>
      <c r="C36" s="179">
        <v>101.08333333333333</v>
      </c>
      <c r="D36" s="179">
        <v>94.333333333333314</v>
      </c>
      <c r="E36" s="179">
        <v>97.666666666666671</v>
      </c>
      <c r="F36" s="179">
        <v>93.250000000000014</v>
      </c>
      <c r="G36" s="179">
        <v>100.25</v>
      </c>
      <c r="H36" s="179">
        <v>97.333333333333343</v>
      </c>
      <c r="I36" s="179">
        <v>77.083333333333329</v>
      </c>
      <c r="J36" s="179">
        <v>66.916666666666671</v>
      </c>
      <c r="K36" s="179">
        <v>63.916666666666679</v>
      </c>
      <c r="L36" s="179">
        <v>74.666666666666671</v>
      </c>
      <c r="M36" s="179">
        <v>71.833333333333329</v>
      </c>
    </row>
    <row r="37" spans="1:13" ht="15" customHeight="1" x14ac:dyDescent="0.2">
      <c r="A37" s="180" t="s">
        <v>77</v>
      </c>
      <c r="B37" s="180" t="s">
        <v>67</v>
      </c>
      <c r="C37" s="181">
        <v>17.333333333333336</v>
      </c>
      <c r="D37" s="181">
        <v>15.666666666666666</v>
      </c>
      <c r="E37" s="181">
        <v>22.5</v>
      </c>
      <c r="F37" s="181">
        <v>22.333333333333336</v>
      </c>
      <c r="G37" s="181">
        <v>22.083333333333332</v>
      </c>
      <c r="H37" s="181">
        <v>18.333333333333332</v>
      </c>
      <c r="I37" s="181">
        <v>15.833333333333332</v>
      </c>
      <c r="J37" s="181">
        <v>15.5</v>
      </c>
      <c r="K37" s="181">
        <v>17.333333333333332</v>
      </c>
      <c r="L37" s="182">
        <v>12.666666666666668</v>
      </c>
      <c r="M37" s="182">
        <f>SUM(M26,M15,M4)</f>
        <v>13.083333333333334</v>
      </c>
    </row>
    <row r="38" spans="1:13" ht="15" customHeight="1" x14ac:dyDescent="0.2">
      <c r="A38" s="96" t="s">
        <v>77</v>
      </c>
      <c r="B38" s="96" t="s">
        <v>68</v>
      </c>
      <c r="C38" s="177">
        <v>24.25</v>
      </c>
      <c r="D38" s="177">
        <v>20.416666666666668</v>
      </c>
      <c r="E38" s="177">
        <v>19.75</v>
      </c>
      <c r="F38" s="177">
        <v>22.333333333333336</v>
      </c>
      <c r="G38" s="177">
        <v>36.666666666666671</v>
      </c>
      <c r="H38" s="177">
        <v>31.916666666666664</v>
      </c>
      <c r="I38" s="177">
        <v>23.833333333333336</v>
      </c>
      <c r="J38" s="177">
        <v>15.5</v>
      </c>
      <c r="K38" s="177">
        <v>16.083333333333332</v>
      </c>
      <c r="L38" s="178">
        <v>14.666666666666668</v>
      </c>
      <c r="M38" s="178">
        <f t="shared" ref="M38:M47" si="0">SUM(M27,M16,M5)</f>
        <v>11.583333333333332</v>
      </c>
    </row>
    <row r="39" spans="1:13" ht="15" customHeight="1" x14ac:dyDescent="0.2">
      <c r="A39" s="96" t="s">
        <v>77</v>
      </c>
      <c r="B39" s="96" t="s">
        <v>69</v>
      </c>
      <c r="C39" s="177">
        <v>230.91666666666666</v>
      </c>
      <c r="D39" s="177">
        <v>207.33333333333331</v>
      </c>
      <c r="E39" s="177">
        <v>201.33333333333334</v>
      </c>
      <c r="F39" s="177">
        <v>198.66666666666666</v>
      </c>
      <c r="G39" s="177">
        <v>192.75</v>
      </c>
      <c r="H39" s="177">
        <v>186</v>
      </c>
      <c r="I39" s="177">
        <v>130.83333333333331</v>
      </c>
      <c r="J39" s="177">
        <v>100.91666666666667</v>
      </c>
      <c r="K39" s="177">
        <v>83.833333333333329</v>
      </c>
      <c r="L39" s="178">
        <v>82.166666666666657</v>
      </c>
      <c r="M39" s="178">
        <f t="shared" si="0"/>
        <v>80</v>
      </c>
    </row>
    <row r="40" spans="1:13" ht="15" customHeight="1" x14ac:dyDescent="0.2">
      <c r="A40" s="96" t="s">
        <v>77</v>
      </c>
      <c r="B40" s="96" t="s">
        <v>70</v>
      </c>
      <c r="C40" s="177">
        <v>3.5833333333333335</v>
      </c>
      <c r="D40" s="177">
        <v>2.25</v>
      </c>
      <c r="E40" s="177">
        <v>2.25</v>
      </c>
      <c r="F40" s="177">
        <v>2.6666666666666665</v>
      </c>
      <c r="G40" s="177">
        <v>1.0833333333333335</v>
      </c>
      <c r="H40" s="177">
        <v>0</v>
      </c>
      <c r="I40" s="177">
        <v>1.5</v>
      </c>
      <c r="J40" s="177">
        <v>2.166666666666667</v>
      </c>
      <c r="K40" s="177">
        <v>2.833333333333333</v>
      </c>
      <c r="L40" s="178">
        <v>2.583333333333333</v>
      </c>
      <c r="M40" s="178">
        <f t="shared" si="0"/>
        <v>0.58333333333333337</v>
      </c>
    </row>
    <row r="41" spans="1:13" ht="15" customHeight="1" x14ac:dyDescent="0.2">
      <c r="A41" s="96" t="s">
        <v>77</v>
      </c>
      <c r="B41" s="96" t="s">
        <v>71</v>
      </c>
      <c r="C41" s="177">
        <v>25.916666666666664</v>
      </c>
      <c r="D41" s="177">
        <v>33</v>
      </c>
      <c r="E41" s="177">
        <v>34.75</v>
      </c>
      <c r="F41" s="177">
        <v>30.166666666666664</v>
      </c>
      <c r="G41" s="177">
        <v>34.666666666666664</v>
      </c>
      <c r="H41" s="177">
        <v>33.083333333333336</v>
      </c>
      <c r="I41" s="177">
        <v>20.666666666666668</v>
      </c>
      <c r="J41" s="177">
        <v>17.5</v>
      </c>
      <c r="K41" s="177">
        <v>24.833333333333336</v>
      </c>
      <c r="L41" s="178">
        <v>19.916666666666668</v>
      </c>
      <c r="M41" s="178">
        <f t="shared" si="0"/>
        <v>24.333333333333332</v>
      </c>
    </row>
    <row r="42" spans="1:13" ht="15" customHeight="1" x14ac:dyDescent="0.2">
      <c r="A42" s="96" t="s">
        <v>77</v>
      </c>
      <c r="B42" s="96" t="s">
        <v>72</v>
      </c>
      <c r="C42" s="177">
        <v>21.333333333333332</v>
      </c>
      <c r="D42" s="177">
        <v>20.833333333333332</v>
      </c>
      <c r="E42" s="177">
        <v>17.166666666666664</v>
      </c>
      <c r="F42" s="177">
        <v>18.916666666666668</v>
      </c>
      <c r="G42" s="177">
        <v>20.083333333333332</v>
      </c>
      <c r="H42" s="177">
        <v>22.583333333333336</v>
      </c>
      <c r="I42" s="177">
        <v>21.666666666666664</v>
      </c>
      <c r="J42" s="177">
        <v>16.916666666666668</v>
      </c>
      <c r="K42" s="177">
        <v>19.333333333333336</v>
      </c>
      <c r="L42" s="178">
        <v>18.083333333333336</v>
      </c>
      <c r="M42" s="178">
        <f t="shared" si="0"/>
        <v>16.75</v>
      </c>
    </row>
    <row r="43" spans="1:13" ht="15" customHeight="1" x14ac:dyDescent="0.2">
      <c r="A43" s="96" t="s">
        <v>77</v>
      </c>
      <c r="B43" s="96" t="s">
        <v>73</v>
      </c>
      <c r="C43" s="177">
        <v>4</v>
      </c>
      <c r="D43" s="177">
        <v>11.083333333333334</v>
      </c>
      <c r="E43" s="177">
        <v>9.4166666666666661</v>
      </c>
      <c r="F43" s="177">
        <v>8.5833333333333339</v>
      </c>
      <c r="G43" s="177">
        <v>9.6666666666666679</v>
      </c>
      <c r="H43" s="177">
        <v>11.75</v>
      </c>
      <c r="I43" s="177">
        <v>8.25</v>
      </c>
      <c r="J43" s="177">
        <v>8</v>
      </c>
      <c r="K43" s="177">
        <v>7.833333333333333</v>
      </c>
      <c r="L43" s="178">
        <v>7.75</v>
      </c>
      <c r="M43" s="178">
        <f t="shared" si="0"/>
        <v>9.5</v>
      </c>
    </row>
    <row r="44" spans="1:13" ht="15" customHeight="1" x14ac:dyDescent="0.2">
      <c r="A44" s="96" t="s">
        <v>77</v>
      </c>
      <c r="B44" s="96" t="s">
        <v>74</v>
      </c>
      <c r="C44" s="177">
        <v>5.4166666666666661</v>
      </c>
      <c r="D44" s="177">
        <v>2.916666666666667</v>
      </c>
      <c r="E44" s="177">
        <v>4.5833333333333339</v>
      </c>
      <c r="F44" s="177">
        <v>7.1666666666666661</v>
      </c>
      <c r="G44" s="177">
        <v>6.833333333333333</v>
      </c>
      <c r="H44" s="177">
        <v>3</v>
      </c>
      <c r="I44" s="177">
        <v>2.75</v>
      </c>
      <c r="J44" s="177">
        <v>1.75</v>
      </c>
      <c r="K44" s="177">
        <v>1.75</v>
      </c>
      <c r="L44" s="178">
        <v>1.25</v>
      </c>
      <c r="M44" s="178">
        <f t="shared" si="0"/>
        <v>3.6666666666666665</v>
      </c>
    </row>
    <row r="45" spans="1:13" ht="15" customHeight="1" x14ac:dyDescent="0.2">
      <c r="A45" s="96" t="s">
        <v>77</v>
      </c>
      <c r="B45" s="96" t="s">
        <v>75</v>
      </c>
      <c r="C45" s="177">
        <v>50.916666666666664</v>
      </c>
      <c r="D45" s="177">
        <v>60.583333333333336</v>
      </c>
      <c r="E45" s="177">
        <v>56.25</v>
      </c>
      <c r="F45" s="177">
        <v>70.666666666666671</v>
      </c>
      <c r="G45" s="177">
        <v>69.75</v>
      </c>
      <c r="H45" s="177">
        <v>65.166666666666671</v>
      </c>
      <c r="I45" s="177">
        <v>52.833333333333336</v>
      </c>
      <c r="J45" s="177">
        <v>40.25</v>
      </c>
      <c r="K45" s="177">
        <v>31.249999999999996</v>
      </c>
      <c r="L45" s="178">
        <v>35.583333333333336</v>
      </c>
      <c r="M45" s="178">
        <f t="shared" si="0"/>
        <v>34.666666666666671</v>
      </c>
    </row>
    <row r="46" spans="1:13" ht="15" customHeight="1" x14ac:dyDescent="0.2">
      <c r="A46" s="96" t="s">
        <v>77</v>
      </c>
      <c r="B46" s="96" t="s">
        <v>76</v>
      </c>
      <c r="C46" s="177">
        <v>25.583333333333332</v>
      </c>
      <c r="D46" s="177">
        <v>24.583333333333332</v>
      </c>
      <c r="E46" s="177">
        <v>22.166666666666664</v>
      </c>
      <c r="F46" s="177">
        <v>21.083333333333332</v>
      </c>
      <c r="G46" s="177">
        <v>21.5</v>
      </c>
      <c r="H46" s="177">
        <v>22.083333333333336</v>
      </c>
      <c r="I46" s="177">
        <v>13.833333333333332</v>
      </c>
      <c r="J46" s="177">
        <v>13.083333333333332</v>
      </c>
      <c r="K46" s="177">
        <v>14.416666666666668</v>
      </c>
      <c r="L46" s="178">
        <v>18.416666666666668</v>
      </c>
      <c r="M46" s="178">
        <f t="shared" si="0"/>
        <v>16.416666666666664</v>
      </c>
    </row>
    <row r="47" spans="1:13" ht="15" customHeight="1" x14ac:dyDescent="0.2">
      <c r="A47" s="98" t="s">
        <v>77</v>
      </c>
      <c r="B47" s="98" t="s">
        <v>36</v>
      </c>
      <c r="C47" s="179">
        <v>409.25</v>
      </c>
      <c r="D47" s="179">
        <v>398.66666666666657</v>
      </c>
      <c r="E47" s="179">
        <v>390.16666666666674</v>
      </c>
      <c r="F47" s="179">
        <v>402.58333333333331</v>
      </c>
      <c r="G47" s="179">
        <v>415.08333333333331</v>
      </c>
      <c r="H47" s="179">
        <v>393.91666666666663</v>
      </c>
      <c r="I47" s="179">
        <v>291.99999999999994</v>
      </c>
      <c r="J47" s="179">
        <v>231.58333333333334</v>
      </c>
      <c r="K47" s="179">
        <v>219.5</v>
      </c>
      <c r="L47" s="179">
        <v>213.08333333333334</v>
      </c>
      <c r="M47" s="232">
        <f t="shared" si="0"/>
        <v>210.58333333333334</v>
      </c>
    </row>
    <row r="48" spans="1:13" ht="15" customHeight="1" x14ac:dyDescent="0.2">
      <c r="A48" s="180" t="s">
        <v>65</v>
      </c>
      <c r="B48" s="180" t="s">
        <v>67</v>
      </c>
      <c r="C48" s="181">
        <v>50.666666666666664</v>
      </c>
      <c r="D48" s="181">
        <v>39.916666666666664</v>
      </c>
      <c r="E48" s="181">
        <v>37.5</v>
      </c>
      <c r="F48" s="181">
        <v>44.833333333333336</v>
      </c>
      <c r="G48" s="181">
        <v>48.166666666666664</v>
      </c>
      <c r="H48" s="181">
        <v>36.166666666666664</v>
      </c>
      <c r="I48" s="181">
        <v>21.333333333333332</v>
      </c>
      <c r="J48" s="181">
        <v>19.666666666666668</v>
      </c>
      <c r="K48" s="181">
        <v>18.25</v>
      </c>
      <c r="L48" s="182">
        <v>13.666666666666666</v>
      </c>
      <c r="M48" s="182">
        <v>14.5</v>
      </c>
    </row>
    <row r="49" spans="1:13" ht="15" customHeight="1" x14ac:dyDescent="0.2">
      <c r="A49" s="96" t="s">
        <v>65</v>
      </c>
      <c r="B49" s="96" t="s">
        <v>68</v>
      </c>
      <c r="C49" s="177">
        <v>44.166666666666664</v>
      </c>
      <c r="D49" s="177">
        <v>45.416666666666664</v>
      </c>
      <c r="E49" s="177">
        <v>41.166666666666664</v>
      </c>
      <c r="F49" s="177">
        <v>47.166666666666664</v>
      </c>
      <c r="G49" s="177">
        <v>43.916666666666664</v>
      </c>
      <c r="H49" s="177">
        <v>30.416666666666668</v>
      </c>
      <c r="I49" s="177">
        <v>20</v>
      </c>
      <c r="J49" s="177">
        <v>19.916666666666668</v>
      </c>
      <c r="K49" s="177">
        <v>18.333333333333332</v>
      </c>
      <c r="L49" s="178">
        <v>14.833333333333334</v>
      </c>
      <c r="M49" s="178">
        <v>15.833333333333334</v>
      </c>
    </row>
    <row r="50" spans="1:13" ht="15" customHeight="1" x14ac:dyDescent="0.2">
      <c r="A50" s="96" t="s">
        <v>65</v>
      </c>
      <c r="B50" s="96" t="s">
        <v>69</v>
      </c>
      <c r="C50" s="177">
        <v>67</v>
      </c>
      <c r="D50" s="177">
        <v>53.916666666666664</v>
      </c>
      <c r="E50" s="177">
        <v>54.666666666666664</v>
      </c>
      <c r="F50" s="177">
        <v>60.583333333333336</v>
      </c>
      <c r="G50" s="177">
        <v>52.5</v>
      </c>
      <c r="H50" s="177">
        <v>47.833333333333336</v>
      </c>
      <c r="I50" s="177">
        <v>24.333333333333332</v>
      </c>
      <c r="J50" s="177">
        <v>18.833333333333332</v>
      </c>
      <c r="K50" s="177">
        <v>15.916666666666666</v>
      </c>
      <c r="L50" s="178">
        <v>12.666666666666666</v>
      </c>
      <c r="M50" s="178">
        <v>9.3333333333333339</v>
      </c>
    </row>
    <row r="51" spans="1:13" ht="15" customHeight="1" x14ac:dyDescent="0.2">
      <c r="A51" s="96" t="s">
        <v>65</v>
      </c>
      <c r="B51" s="96" t="s">
        <v>70</v>
      </c>
      <c r="C51" s="177">
        <v>44.583333333333336</v>
      </c>
      <c r="D51" s="177">
        <v>44</v>
      </c>
      <c r="E51" s="177">
        <v>39.666666666666664</v>
      </c>
      <c r="F51" s="177">
        <v>39</v>
      </c>
      <c r="G51" s="177">
        <v>22.583333333333332</v>
      </c>
      <c r="H51" s="177">
        <v>13.416666666666666</v>
      </c>
      <c r="I51" s="177">
        <v>12.333333333333334</v>
      </c>
      <c r="J51" s="177">
        <v>6.25</v>
      </c>
      <c r="K51" s="177">
        <v>16.833333333333332</v>
      </c>
      <c r="L51" s="178">
        <v>25.416666666666668</v>
      </c>
      <c r="M51" s="178">
        <v>30.166666666666668</v>
      </c>
    </row>
    <row r="52" spans="1:13" ht="15" customHeight="1" x14ac:dyDescent="0.2">
      <c r="A52" s="96" t="s">
        <v>65</v>
      </c>
      <c r="B52" s="96" t="s">
        <v>71</v>
      </c>
      <c r="C52" s="177">
        <v>133.58333333333334</v>
      </c>
      <c r="D52" s="177">
        <v>125.66666666666667</v>
      </c>
      <c r="E52" s="177">
        <v>90.666666666666671</v>
      </c>
      <c r="F52" s="177">
        <v>79.5</v>
      </c>
      <c r="G52" s="177">
        <v>84.25</v>
      </c>
      <c r="H52" s="177">
        <v>74.75</v>
      </c>
      <c r="I52" s="177">
        <v>56.333333333333336</v>
      </c>
      <c r="J52" s="177">
        <v>48.833333333333336</v>
      </c>
      <c r="K52" s="177">
        <v>52.583333333333336</v>
      </c>
      <c r="L52" s="178">
        <v>41.833333333333336</v>
      </c>
      <c r="M52" s="178">
        <v>38.583333333333336</v>
      </c>
    </row>
    <row r="53" spans="1:13" ht="15" customHeight="1" x14ac:dyDescent="0.2">
      <c r="A53" s="96" t="s">
        <v>65</v>
      </c>
      <c r="B53" s="96" t="s">
        <v>72</v>
      </c>
      <c r="C53" s="177">
        <v>62.583333333333336</v>
      </c>
      <c r="D53" s="177">
        <v>58.916666666666664</v>
      </c>
      <c r="E53" s="177">
        <v>41.25</v>
      </c>
      <c r="F53" s="177">
        <v>47.833333333333336</v>
      </c>
      <c r="G53" s="177">
        <v>42.083333333333336</v>
      </c>
      <c r="H53" s="177">
        <v>32</v>
      </c>
      <c r="I53" s="177">
        <v>20.333333333333332</v>
      </c>
      <c r="J53" s="177">
        <v>21.583333333333332</v>
      </c>
      <c r="K53" s="177">
        <v>21.75</v>
      </c>
      <c r="L53" s="178">
        <v>22.583333333333332</v>
      </c>
      <c r="M53" s="178">
        <v>21.666666666666668</v>
      </c>
    </row>
    <row r="54" spans="1:13" ht="15" customHeight="1" x14ac:dyDescent="0.2">
      <c r="A54" s="96" t="s">
        <v>65</v>
      </c>
      <c r="B54" s="96" t="s">
        <v>73</v>
      </c>
      <c r="C54" s="177">
        <v>28.25</v>
      </c>
      <c r="D54" s="177">
        <v>25.916666666666668</v>
      </c>
      <c r="E54" s="177">
        <v>16.916666666666668</v>
      </c>
      <c r="F54" s="177">
        <v>26.333333333333332</v>
      </c>
      <c r="G54" s="177">
        <v>18.916666666666668</v>
      </c>
      <c r="H54" s="177">
        <v>23.666666666666668</v>
      </c>
      <c r="I54" s="177">
        <v>16</v>
      </c>
      <c r="J54" s="177">
        <v>9.6666666666666661</v>
      </c>
      <c r="K54" s="177">
        <v>11.916666666666666</v>
      </c>
      <c r="L54" s="178">
        <v>17.5</v>
      </c>
      <c r="M54" s="178">
        <v>17.833333333333332</v>
      </c>
    </row>
    <row r="55" spans="1:13" ht="15" customHeight="1" x14ac:dyDescent="0.2">
      <c r="A55" s="96" t="s">
        <v>65</v>
      </c>
      <c r="B55" s="96" t="s">
        <v>74</v>
      </c>
      <c r="C55" s="177">
        <v>40.833333333333336</v>
      </c>
      <c r="D55" s="177">
        <v>39</v>
      </c>
      <c r="E55" s="177">
        <v>33</v>
      </c>
      <c r="F55" s="177">
        <v>24.833333333333332</v>
      </c>
      <c r="G55" s="177">
        <v>18.333333333333332</v>
      </c>
      <c r="H55" s="177">
        <v>18.916666666666668</v>
      </c>
      <c r="I55" s="177">
        <v>13.75</v>
      </c>
      <c r="J55" s="177">
        <v>8.5833333333333339</v>
      </c>
      <c r="K55" s="177">
        <v>8.5</v>
      </c>
      <c r="L55" s="178">
        <v>11</v>
      </c>
      <c r="M55" s="178">
        <v>11.583333333333334</v>
      </c>
    </row>
    <row r="56" spans="1:13" ht="15" customHeight="1" x14ac:dyDescent="0.2">
      <c r="A56" s="96" t="s">
        <v>65</v>
      </c>
      <c r="B56" s="96" t="s">
        <v>75</v>
      </c>
      <c r="C56" s="177">
        <v>72.666666666666671</v>
      </c>
      <c r="D56" s="177">
        <v>64.333333333333329</v>
      </c>
      <c r="E56" s="177">
        <v>57</v>
      </c>
      <c r="F56" s="177">
        <v>50.583333333333336</v>
      </c>
      <c r="G56" s="177">
        <v>38.333333333333336</v>
      </c>
      <c r="H56" s="177">
        <v>40.833333333333336</v>
      </c>
      <c r="I56" s="177">
        <v>40.583333333333336</v>
      </c>
      <c r="J56" s="177">
        <v>31.25</v>
      </c>
      <c r="K56" s="177">
        <v>25.25</v>
      </c>
      <c r="L56" s="178">
        <v>22.416666666666668</v>
      </c>
      <c r="M56" s="178">
        <v>20.25</v>
      </c>
    </row>
    <row r="57" spans="1:13" ht="15" customHeight="1" x14ac:dyDescent="0.2">
      <c r="A57" s="96" t="s">
        <v>65</v>
      </c>
      <c r="B57" s="96" t="s">
        <v>76</v>
      </c>
      <c r="C57" s="177">
        <v>82.916666666666671</v>
      </c>
      <c r="D57" s="177">
        <v>59.333333333333336</v>
      </c>
      <c r="E57" s="177">
        <v>60.416666666666664</v>
      </c>
      <c r="F57" s="177">
        <v>64.416666666666671</v>
      </c>
      <c r="G57" s="177">
        <v>65.25</v>
      </c>
      <c r="H57" s="177">
        <v>56.166666666666664</v>
      </c>
      <c r="I57" s="177">
        <v>36.5</v>
      </c>
      <c r="J57" s="177">
        <v>29.583333333333332</v>
      </c>
      <c r="K57" s="177">
        <v>26.333333333333332</v>
      </c>
      <c r="L57" s="178">
        <v>26</v>
      </c>
      <c r="M57" s="178">
        <v>13.333333333333334</v>
      </c>
    </row>
    <row r="58" spans="1:13" ht="15" customHeight="1" x14ac:dyDescent="0.2">
      <c r="A58" s="98" t="s">
        <v>65</v>
      </c>
      <c r="B58" s="97" t="s">
        <v>36</v>
      </c>
      <c r="C58" s="179">
        <v>627.24999999999989</v>
      </c>
      <c r="D58" s="179">
        <v>556.41666666666674</v>
      </c>
      <c r="E58" s="179">
        <v>472.25</v>
      </c>
      <c r="F58" s="179">
        <v>485.08333333333331</v>
      </c>
      <c r="G58" s="179">
        <v>434.33333333333331</v>
      </c>
      <c r="H58" s="179">
        <v>374.16666666666669</v>
      </c>
      <c r="I58" s="179">
        <v>261.5</v>
      </c>
      <c r="J58" s="179">
        <v>214.16666666666669</v>
      </c>
      <c r="K58" s="179">
        <v>215.66666666666666</v>
      </c>
      <c r="L58" s="286">
        <v>207.91666666666666</v>
      </c>
      <c r="M58" s="286">
        <v>193.08333333333334</v>
      </c>
    </row>
    <row r="59" spans="1:13" ht="15" customHeight="1" x14ac:dyDescent="0.2">
      <c r="A59" s="183" t="s">
        <v>66</v>
      </c>
      <c r="B59" s="97" t="s">
        <v>131</v>
      </c>
      <c r="C59" s="184">
        <v>0.83333333333333337</v>
      </c>
      <c r="D59" s="184">
        <v>5.166666666666667</v>
      </c>
      <c r="E59" s="184">
        <v>5.5</v>
      </c>
      <c r="F59" s="184">
        <v>6.25</v>
      </c>
      <c r="G59" s="184">
        <v>9.5</v>
      </c>
      <c r="H59" s="184">
        <v>13</v>
      </c>
      <c r="I59" s="184">
        <v>6.916666666666667</v>
      </c>
      <c r="J59" s="184">
        <v>8.5</v>
      </c>
      <c r="K59" s="184">
        <v>6.166666666666667</v>
      </c>
      <c r="L59" s="185">
        <v>8.8333333333333339</v>
      </c>
      <c r="M59" s="185">
        <v>14</v>
      </c>
    </row>
    <row r="60" spans="1:13" x14ac:dyDescent="0.2">
      <c r="C60" s="25"/>
      <c r="D60" s="6"/>
      <c r="E60" s="6"/>
      <c r="F60" s="6"/>
      <c r="G60" s="6"/>
      <c r="H60" s="6"/>
      <c r="I60" s="6"/>
    </row>
  </sheetData>
  <phoneticPr fontId="19" type="noConversion"/>
  <pageMargins left="0.7" right="0.7" top="0.75" bottom="0.75" header="0.3" footer="0.3"/>
  <pageSetup paperSize="9" orientation="portrait" r:id="rId1"/>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76C11D-CCF2-451B-AAA5-DBBE80A4602A}">
  <sheetPr codeName="Sheet13"/>
  <dimension ref="A1:M48"/>
  <sheetViews>
    <sheetView workbookViewId="0">
      <pane xSplit="2" ySplit="4" topLeftCell="C5" activePane="bottomRight" state="frozen"/>
      <selection pane="topRight" activeCell="C1" sqref="C1"/>
      <selection pane="bottomLeft" activeCell="A5" sqref="A5"/>
      <selection pane="bottomRight" activeCell="C5" sqref="C5"/>
    </sheetView>
  </sheetViews>
  <sheetFormatPr defaultColWidth="8.6640625" defaultRowHeight="15" x14ac:dyDescent="0.2"/>
  <cols>
    <col min="1" max="1" width="19" bestFit="1" customWidth="1"/>
    <col min="2" max="2" width="10.88671875" bestFit="1" customWidth="1"/>
  </cols>
  <sheetData>
    <row r="1" spans="1:13" ht="15.75" x14ac:dyDescent="0.2">
      <c r="A1" s="38" t="s">
        <v>258</v>
      </c>
      <c r="B1" s="38"/>
      <c r="C1" s="12"/>
      <c r="D1" s="12"/>
      <c r="E1" s="12"/>
      <c r="F1" s="12"/>
      <c r="G1" s="12"/>
      <c r="H1" s="12"/>
      <c r="I1" s="12"/>
      <c r="J1" s="12"/>
      <c r="K1" s="12"/>
      <c r="L1" s="12"/>
      <c r="M1" s="12"/>
    </row>
    <row r="2" spans="1:13" ht="15.95" x14ac:dyDescent="0.2">
      <c r="A2" s="4" t="s">
        <v>121</v>
      </c>
      <c r="B2" s="4"/>
      <c r="C2" s="12"/>
      <c r="D2" s="12"/>
      <c r="E2" s="12"/>
      <c r="F2" s="12"/>
      <c r="G2" s="12"/>
      <c r="H2" s="12"/>
      <c r="I2" s="12"/>
      <c r="J2" s="12"/>
      <c r="K2" s="12"/>
      <c r="L2" s="12"/>
      <c r="M2" s="12"/>
    </row>
    <row r="3" spans="1:13" ht="15.95" x14ac:dyDescent="0.2">
      <c r="A3" s="4" t="s">
        <v>277</v>
      </c>
      <c r="B3" s="4"/>
      <c r="C3" s="12"/>
      <c r="D3" s="50"/>
      <c r="E3" s="50"/>
      <c r="F3" s="50"/>
      <c r="G3" s="50"/>
      <c r="H3" s="50"/>
      <c r="I3" s="50"/>
      <c r="J3" s="50"/>
      <c r="K3" s="50"/>
      <c r="L3" s="50"/>
      <c r="M3" s="50"/>
    </row>
    <row r="4" spans="1:13" ht="15.95" x14ac:dyDescent="0.2">
      <c r="A4" s="52" t="s">
        <v>155</v>
      </c>
      <c r="B4" s="52" t="s">
        <v>154</v>
      </c>
      <c r="C4" s="58" t="s">
        <v>113</v>
      </c>
      <c r="D4" s="58" t="s">
        <v>114</v>
      </c>
      <c r="E4" s="58" t="s">
        <v>115</v>
      </c>
      <c r="F4" s="58" t="s">
        <v>116</v>
      </c>
      <c r="G4" s="58" t="s">
        <v>117</v>
      </c>
      <c r="H4" s="58" t="s">
        <v>118</v>
      </c>
      <c r="I4" s="58" t="s">
        <v>119</v>
      </c>
      <c r="J4" s="58" t="s">
        <v>120</v>
      </c>
      <c r="K4" s="58" t="s">
        <v>164</v>
      </c>
      <c r="L4" s="58" t="s">
        <v>187</v>
      </c>
      <c r="M4" s="58" t="s">
        <v>236</v>
      </c>
    </row>
    <row r="5" spans="1:13" ht="15.95" x14ac:dyDescent="0.2">
      <c r="A5" s="96" t="s">
        <v>38</v>
      </c>
      <c r="B5" s="96" t="s">
        <v>67</v>
      </c>
      <c r="C5" s="7">
        <v>14.75</v>
      </c>
      <c r="D5" s="7">
        <v>12.916666666666666</v>
      </c>
      <c r="E5" s="7">
        <v>12.166666666666666</v>
      </c>
      <c r="F5" s="7">
        <v>16.416666666666668</v>
      </c>
      <c r="G5" s="7">
        <v>22.25</v>
      </c>
      <c r="H5" s="7">
        <v>17.75</v>
      </c>
      <c r="I5" s="7">
        <v>13.583333333333334</v>
      </c>
      <c r="J5" s="7">
        <v>13.25</v>
      </c>
      <c r="K5" s="7">
        <v>14.75</v>
      </c>
      <c r="L5" s="7">
        <v>9.1666666666666661</v>
      </c>
      <c r="M5" s="7">
        <v>13.25</v>
      </c>
    </row>
    <row r="6" spans="1:13" ht="15.95" x14ac:dyDescent="0.2">
      <c r="A6" s="96" t="s">
        <v>38</v>
      </c>
      <c r="B6" s="96" t="s">
        <v>68</v>
      </c>
      <c r="C6" s="7">
        <v>21.833333333333332</v>
      </c>
      <c r="D6" s="7">
        <v>14.166666666666666</v>
      </c>
      <c r="E6" s="7">
        <v>14.833333333333334</v>
      </c>
      <c r="F6" s="7">
        <v>15.333333333333334</v>
      </c>
      <c r="G6" s="7">
        <v>22.833333333333332</v>
      </c>
      <c r="H6" s="7">
        <v>20.416666666666668</v>
      </c>
      <c r="I6" s="7">
        <v>18.916666666666668</v>
      </c>
      <c r="J6" s="7">
        <v>18.666666666666668</v>
      </c>
      <c r="K6" s="7">
        <v>15.75</v>
      </c>
      <c r="L6" s="7">
        <v>17.083333333333332</v>
      </c>
      <c r="M6" s="7">
        <v>13.583333333333334</v>
      </c>
    </row>
    <row r="7" spans="1:13" ht="15.95" x14ac:dyDescent="0.2">
      <c r="A7" s="96" t="s">
        <v>38</v>
      </c>
      <c r="B7" s="96" t="s">
        <v>69</v>
      </c>
      <c r="C7" s="7">
        <v>93.333333333333329</v>
      </c>
      <c r="D7" s="7">
        <v>79.166666666666671</v>
      </c>
      <c r="E7" s="7">
        <v>73</v>
      </c>
      <c r="F7" s="7">
        <v>83.25</v>
      </c>
      <c r="G7" s="7">
        <v>85.75</v>
      </c>
      <c r="H7" s="7">
        <v>85.666666666666671</v>
      </c>
      <c r="I7" s="7">
        <v>71.583333333333329</v>
      </c>
      <c r="J7" s="7">
        <v>68.75</v>
      </c>
      <c r="K7" s="7">
        <v>57.833333333333336</v>
      </c>
      <c r="L7" s="7">
        <v>53.333333333333336</v>
      </c>
      <c r="M7" s="7">
        <v>57.833333333333336</v>
      </c>
    </row>
    <row r="8" spans="1:13" ht="15.95" x14ac:dyDescent="0.2">
      <c r="A8" s="96" t="s">
        <v>38</v>
      </c>
      <c r="B8" s="96" t="s">
        <v>70</v>
      </c>
      <c r="C8" s="7">
        <v>7.666666666666667</v>
      </c>
      <c r="D8" s="7">
        <v>12.083333333333334</v>
      </c>
      <c r="E8" s="7">
        <v>7.916666666666667</v>
      </c>
      <c r="F8" s="7">
        <v>5.25</v>
      </c>
      <c r="G8" s="7">
        <v>3.4166666666666665</v>
      </c>
      <c r="H8" s="7">
        <v>3.0833333333333335</v>
      </c>
      <c r="I8" s="7">
        <v>2.25</v>
      </c>
      <c r="J8" s="7">
        <v>3</v>
      </c>
      <c r="K8" s="7">
        <v>6.75</v>
      </c>
      <c r="L8" s="7">
        <v>8.5</v>
      </c>
      <c r="M8" s="7">
        <v>11.833333333333334</v>
      </c>
    </row>
    <row r="9" spans="1:13" ht="15.95" x14ac:dyDescent="0.2">
      <c r="A9" s="96" t="s">
        <v>38</v>
      </c>
      <c r="B9" s="96" t="s">
        <v>71</v>
      </c>
      <c r="C9" s="7">
        <v>26.083333333333332</v>
      </c>
      <c r="D9" s="7">
        <v>30.25</v>
      </c>
      <c r="E9" s="7">
        <v>20.75</v>
      </c>
      <c r="F9" s="7">
        <v>23.333333333333332</v>
      </c>
      <c r="G9" s="7">
        <v>28.5</v>
      </c>
      <c r="H9" s="7">
        <v>25.833333333333332</v>
      </c>
      <c r="I9" s="7">
        <v>24.75</v>
      </c>
      <c r="J9" s="7">
        <v>24.833333333333332</v>
      </c>
      <c r="K9" s="7">
        <v>26</v>
      </c>
      <c r="L9" s="7">
        <v>21.583333333333332</v>
      </c>
      <c r="M9" s="7">
        <v>22.916666666666668</v>
      </c>
    </row>
    <row r="10" spans="1:13" ht="15.95" x14ac:dyDescent="0.2">
      <c r="A10" s="96" t="s">
        <v>38</v>
      </c>
      <c r="B10" s="96" t="s">
        <v>72</v>
      </c>
      <c r="C10" s="7">
        <v>18.666666666666668</v>
      </c>
      <c r="D10" s="7">
        <v>16.666666666666668</v>
      </c>
      <c r="E10" s="7">
        <v>12.833333333333334</v>
      </c>
      <c r="F10" s="7">
        <v>16.583333333333332</v>
      </c>
      <c r="G10" s="7">
        <v>19</v>
      </c>
      <c r="H10" s="7">
        <v>13.166666666666666</v>
      </c>
      <c r="I10" s="7">
        <v>19.583333333333332</v>
      </c>
      <c r="J10" s="7">
        <v>19.166666666666668</v>
      </c>
      <c r="K10" s="7">
        <v>20</v>
      </c>
      <c r="L10" s="7">
        <v>17.583333333333332</v>
      </c>
      <c r="M10" s="7">
        <v>14.166666666666666</v>
      </c>
    </row>
    <row r="11" spans="1:13" ht="15.95" x14ac:dyDescent="0.2">
      <c r="A11" s="96" t="s">
        <v>38</v>
      </c>
      <c r="B11" s="96" t="s">
        <v>73</v>
      </c>
      <c r="C11" s="7">
        <v>7.25</v>
      </c>
      <c r="D11" s="7">
        <v>5.833333333333333</v>
      </c>
      <c r="E11" s="7">
        <v>6.5</v>
      </c>
      <c r="F11" s="7">
        <v>4</v>
      </c>
      <c r="G11" s="7">
        <v>5.583333333333333</v>
      </c>
      <c r="H11" s="7">
        <v>10.583333333333334</v>
      </c>
      <c r="I11" s="7">
        <v>5.75</v>
      </c>
      <c r="J11" s="7">
        <v>6.666666666666667</v>
      </c>
      <c r="K11" s="7">
        <v>9.5</v>
      </c>
      <c r="L11" s="7">
        <v>11.416666666666666</v>
      </c>
      <c r="M11" s="7">
        <v>10.75</v>
      </c>
    </row>
    <row r="12" spans="1:13" ht="15.95" x14ac:dyDescent="0.2">
      <c r="A12" s="96" t="s">
        <v>38</v>
      </c>
      <c r="B12" s="96" t="s">
        <v>74</v>
      </c>
      <c r="C12" s="7">
        <v>7.5</v>
      </c>
      <c r="D12" s="7">
        <v>5.333333333333333</v>
      </c>
      <c r="E12" s="7">
        <v>4.833333333333333</v>
      </c>
      <c r="F12" s="7">
        <v>8.5</v>
      </c>
      <c r="G12" s="7">
        <v>7.583333333333333</v>
      </c>
      <c r="H12" s="7">
        <v>6.166666666666667</v>
      </c>
      <c r="I12" s="7">
        <v>5.333333333333333</v>
      </c>
      <c r="J12" s="7">
        <v>3.75</v>
      </c>
      <c r="K12" s="7">
        <v>2.9166666666666665</v>
      </c>
      <c r="L12" s="7">
        <v>5.083333333333333</v>
      </c>
      <c r="M12" s="7">
        <v>5</v>
      </c>
    </row>
    <row r="13" spans="1:13" ht="15.95" x14ac:dyDescent="0.2">
      <c r="A13" s="96" t="s">
        <v>38</v>
      </c>
      <c r="B13" s="96" t="s">
        <v>75</v>
      </c>
      <c r="C13" s="7">
        <v>24</v>
      </c>
      <c r="D13" s="7">
        <v>20.333333333333332</v>
      </c>
      <c r="E13" s="7">
        <v>18.75</v>
      </c>
      <c r="F13" s="7">
        <v>25.75</v>
      </c>
      <c r="G13" s="7">
        <v>29</v>
      </c>
      <c r="H13" s="7">
        <v>32.916666666666664</v>
      </c>
      <c r="I13" s="7">
        <v>40.416666666666664</v>
      </c>
      <c r="J13" s="7">
        <v>30.916666666666668</v>
      </c>
      <c r="K13" s="7">
        <v>24.75</v>
      </c>
      <c r="L13" s="7">
        <v>24.25</v>
      </c>
      <c r="M13" s="7">
        <v>23.166666666666668</v>
      </c>
    </row>
    <row r="14" spans="1:13" ht="15.95" x14ac:dyDescent="0.2">
      <c r="A14" s="96" t="s">
        <v>38</v>
      </c>
      <c r="B14" s="96" t="s">
        <v>76</v>
      </c>
      <c r="C14" s="7">
        <v>18.666666666666668</v>
      </c>
      <c r="D14" s="7">
        <v>15.333333333333334</v>
      </c>
      <c r="E14" s="7">
        <v>11.5</v>
      </c>
      <c r="F14" s="7">
        <v>18.666666666666668</v>
      </c>
      <c r="G14" s="7">
        <v>19.166666666666668</v>
      </c>
      <c r="H14" s="7">
        <v>24</v>
      </c>
      <c r="I14" s="7">
        <v>22.25</v>
      </c>
      <c r="J14" s="7">
        <v>17.5</v>
      </c>
      <c r="K14" s="7">
        <v>17.333333333333332</v>
      </c>
      <c r="L14" s="7">
        <v>16.666666666666668</v>
      </c>
      <c r="M14" s="7">
        <v>10.416666666666666</v>
      </c>
    </row>
    <row r="15" spans="1:13" ht="15.95" x14ac:dyDescent="0.2">
      <c r="A15" s="98" t="s">
        <v>38</v>
      </c>
      <c r="B15" s="98" t="s">
        <v>36</v>
      </c>
      <c r="C15" s="6">
        <f t="shared" ref="C15:M15" si="0">SUM(C5:C14)</f>
        <v>239.74999999999997</v>
      </c>
      <c r="D15" s="6">
        <f t="shared" si="0"/>
        <v>212.08333333333334</v>
      </c>
      <c r="E15" s="6">
        <f t="shared" si="0"/>
        <v>183.08333333333337</v>
      </c>
      <c r="F15" s="6">
        <f t="shared" si="0"/>
        <v>217.08333333333334</v>
      </c>
      <c r="G15" s="6">
        <f t="shared" si="0"/>
        <v>243.08333333333331</v>
      </c>
      <c r="H15" s="6">
        <f t="shared" si="0"/>
        <v>239.58333333333331</v>
      </c>
      <c r="I15" s="6">
        <f t="shared" si="0"/>
        <v>224.41666666666666</v>
      </c>
      <c r="J15" s="6">
        <f t="shared" si="0"/>
        <v>206.49999999999997</v>
      </c>
      <c r="K15" s="6">
        <f t="shared" si="0"/>
        <v>195.58333333333334</v>
      </c>
      <c r="L15" s="6">
        <f t="shared" si="0"/>
        <v>184.66666666666666</v>
      </c>
      <c r="M15" s="6">
        <f t="shared" si="0"/>
        <v>182.91666666666666</v>
      </c>
    </row>
    <row r="16" spans="1:13" ht="15.95" x14ac:dyDescent="0.2">
      <c r="A16" s="180" t="s">
        <v>39</v>
      </c>
      <c r="B16" s="180" t="s">
        <v>67</v>
      </c>
      <c r="C16" s="186">
        <v>38.25</v>
      </c>
      <c r="D16" s="186">
        <v>33.25</v>
      </c>
      <c r="E16" s="186">
        <v>36.25</v>
      </c>
      <c r="F16" s="186">
        <v>31</v>
      </c>
      <c r="G16" s="186">
        <v>23.166666666666668</v>
      </c>
      <c r="H16" s="186">
        <v>15.416666666666666</v>
      </c>
      <c r="I16" s="186">
        <v>11.416666666666666</v>
      </c>
      <c r="J16" s="186">
        <v>10.416666666666666</v>
      </c>
      <c r="K16" s="186">
        <v>11.833333333333334</v>
      </c>
      <c r="L16" s="186">
        <v>9.4166666666666661</v>
      </c>
      <c r="M16" s="186">
        <v>6.666666666666667</v>
      </c>
    </row>
    <row r="17" spans="1:13" ht="15.95" x14ac:dyDescent="0.2">
      <c r="A17" s="96" t="s">
        <v>39</v>
      </c>
      <c r="B17" s="96" t="s">
        <v>68</v>
      </c>
      <c r="C17" s="7">
        <v>32.833333333333336</v>
      </c>
      <c r="D17" s="7">
        <v>29.75</v>
      </c>
      <c r="E17" s="7">
        <v>27.583333333333332</v>
      </c>
      <c r="F17" s="7">
        <v>36.666666666666664</v>
      </c>
      <c r="G17" s="7">
        <v>30.166666666666668</v>
      </c>
      <c r="H17" s="7">
        <v>19.5</v>
      </c>
      <c r="I17" s="7">
        <v>11.916666666666666</v>
      </c>
      <c r="J17" s="7">
        <v>7.583333333333333</v>
      </c>
      <c r="K17" s="7">
        <v>9.25</v>
      </c>
      <c r="L17" s="7">
        <v>5.75</v>
      </c>
      <c r="M17" s="7">
        <v>7.75</v>
      </c>
    </row>
    <row r="18" spans="1:13" ht="15.95" x14ac:dyDescent="0.2">
      <c r="A18" s="96" t="s">
        <v>39</v>
      </c>
      <c r="B18" s="96" t="s">
        <v>69</v>
      </c>
      <c r="C18" s="7">
        <v>133</v>
      </c>
      <c r="D18" s="7">
        <v>117.41666666666667</v>
      </c>
      <c r="E18" s="7">
        <v>112.83333333333333</v>
      </c>
      <c r="F18" s="7">
        <v>98.333333333333329</v>
      </c>
      <c r="G18" s="7">
        <v>73.25</v>
      </c>
      <c r="H18" s="7">
        <v>70.083333333333329</v>
      </c>
      <c r="I18" s="7">
        <v>33.833333333333336</v>
      </c>
      <c r="J18" s="7">
        <v>25.5</v>
      </c>
      <c r="K18" s="7">
        <v>18.083333333333332</v>
      </c>
      <c r="L18" s="7">
        <v>19.333333333333332</v>
      </c>
      <c r="M18" s="7">
        <v>13.916666666666666</v>
      </c>
    </row>
    <row r="19" spans="1:13" x14ac:dyDescent="0.2">
      <c r="A19" s="96" t="s">
        <v>39</v>
      </c>
      <c r="B19" s="96" t="s">
        <v>70</v>
      </c>
      <c r="C19" s="7">
        <v>27.666666666666668</v>
      </c>
      <c r="D19" s="7">
        <v>22.583333333333332</v>
      </c>
      <c r="E19" s="7">
        <v>19</v>
      </c>
      <c r="F19" s="7">
        <v>19.916666666666668</v>
      </c>
      <c r="G19" s="7">
        <v>12.666666666666666</v>
      </c>
      <c r="H19" s="7">
        <v>8.0833333333333339</v>
      </c>
      <c r="I19" s="7">
        <v>8.1666666666666661</v>
      </c>
      <c r="J19" s="7">
        <v>4</v>
      </c>
      <c r="K19" s="7">
        <v>3.6666666666666665</v>
      </c>
      <c r="L19" s="7">
        <v>9.8333333333333339</v>
      </c>
      <c r="M19" s="7">
        <v>10.666666666666666</v>
      </c>
    </row>
    <row r="20" spans="1:13" x14ac:dyDescent="0.2">
      <c r="A20" s="96" t="s">
        <v>39</v>
      </c>
      <c r="B20" s="96" t="s">
        <v>71</v>
      </c>
      <c r="C20" s="7">
        <v>99.666666666666671</v>
      </c>
      <c r="D20" s="7">
        <v>90</v>
      </c>
      <c r="E20" s="7">
        <v>65.833333333333329</v>
      </c>
      <c r="F20" s="7">
        <v>54.083333333333336</v>
      </c>
      <c r="G20" s="7">
        <v>55.666666666666664</v>
      </c>
      <c r="H20" s="7">
        <v>49.75</v>
      </c>
      <c r="I20" s="7">
        <v>30.666666666666668</v>
      </c>
      <c r="J20" s="7">
        <v>18.25</v>
      </c>
      <c r="K20" s="7">
        <v>27.083333333333332</v>
      </c>
      <c r="L20" s="7">
        <v>19.25</v>
      </c>
      <c r="M20" s="7">
        <v>16.75</v>
      </c>
    </row>
    <row r="21" spans="1:13" x14ac:dyDescent="0.2">
      <c r="A21" s="96" t="s">
        <v>39</v>
      </c>
      <c r="B21" s="96" t="s">
        <v>72</v>
      </c>
      <c r="C21" s="7">
        <v>47.583333333333336</v>
      </c>
      <c r="D21" s="7">
        <v>41.583333333333336</v>
      </c>
      <c r="E21" s="7">
        <v>27.416666666666668</v>
      </c>
      <c r="F21" s="7">
        <v>27</v>
      </c>
      <c r="G21" s="7">
        <v>21.5</v>
      </c>
      <c r="H21" s="7">
        <v>24.75</v>
      </c>
      <c r="I21" s="7">
        <v>10.166666666666666</v>
      </c>
      <c r="J21" s="7">
        <v>8</v>
      </c>
      <c r="K21" s="7">
        <v>7.666666666666667</v>
      </c>
      <c r="L21" s="7">
        <v>8.5</v>
      </c>
      <c r="M21" s="7">
        <v>12.166666666666666</v>
      </c>
    </row>
    <row r="22" spans="1:13" x14ac:dyDescent="0.2">
      <c r="A22" s="96" t="s">
        <v>39</v>
      </c>
      <c r="B22" s="96" t="s">
        <v>73</v>
      </c>
      <c r="C22" s="7">
        <v>21</v>
      </c>
      <c r="D22" s="7">
        <v>26.083333333333332</v>
      </c>
      <c r="E22" s="7">
        <v>14.666666666666666</v>
      </c>
      <c r="F22" s="7">
        <v>19.416666666666668</v>
      </c>
      <c r="G22" s="7">
        <v>11.666666666666666</v>
      </c>
      <c r="H22" s="7">
        <v>13.416666666666666</v>
      </c>
      <c r="I22" s="7">
        <v>10.833333333333334</v>
      </c>
      <c r="J22" s="7">
        <v>6.083333333333333</v>
      </c>
      <c r="K22" s="7">
        <v>5.083333333333333</v>
      </c>
      <c r="L22" s="7">
        <v>8.3333333333333339</v>
      </c>
      <c r="M22" s="7">
        <v>4.916666666666667</v>
      </c>
    </row>
    <row r="23" spans="1:13" x14ac:dyDescent="0.2">
      <c r="A23" s="96" t="s">
        <v>39</v>
      </c>
      <c r="B23" s="96" t="s">
        <v>74</v>
      </c>
      <c r="C23" s="7">
        <v>29.5</v>
      </c>
      <c r="D23" s="7">
        <v>28.416666666666668</v>
      </c>
      <c r="E23" s="7">
        <v>25.25</v>
      </c>
      <c r="F23" s="7">
        <v>18.166666666666668</v>
      </c>
      <c r="G23" s="7">
        <v>11</v>
      </c>
      <c r="H23" s="7">
        <v>11.083333333333334</v>
      </c>
      <c r="I23" s="7">
        <v>6</v>
      </c>
      <c r="J23" s="7">
        <v>5.916666666666667</v>
      </c>
      <c r="K23" s="7">
        <v>5.666666666666667</v>
      </c>
      <c r="L23" s="7">
        <v>5.833333333333333</v>
      </c>
      <c r="M23" s="7">
        <v>6.083333333333333</v>
      </c>
    </row>
    <row r="24" spans="1:13" x14ac:dyDescent="0.2">
      <c r="A24" s="96" t="s">
        <v>39</v>
      </c>
      <c r="B24" s="96" t="s">
        <v>75</v>
      </c>
      <c r="C24" s="7">
        <v>63.5</v>
      </c>
      <c r="D24" s="7">
        <v>64.833333333333329</v>
      </c>
      <c r="E24" s="7">
        <v>56.833333333333336</v>
      </c>
      <c r="F24" s="7">
        <v>56.25</v>
      </c>
      <c r="G24" s="7">
        <v>37.916666666666664</v>
      </c>
      <c r="H24" s="7">
        <v>34.5</v>
      </c>
      <c r="I24" s="7">
        <v>22</v>
      </c>
      <c r="J24" s="7">
        <v>11.25</v>
      </c>
      <c r="K24" s="7">
        <v>6.916666666666667</v>
      </c>
      <c r="L24" s="7">
        <v>8.3333333333333339</v>
      </c>
      <c r="M24" s="7">
        <v>7.5</v>
      </c>
    </row>
    <row r="25" spans="1:13" x14ac:dyDescent="0.2">
      <c r="A25" s="96" t="s">
        <v>39</v>
      </c>
      <c r="B25" s="96" t="s">
        <v>76</v>
      </c>
      <c r="C25" s="7">
        <v>62.083333333333336</v>
      </c>
      <c r="D25" s="7">
        <v>45.75</v>
      </c>
      <c r="E25" s="7">
        <v>43.5</v>
      </c>
      <c r="F25" s="7">
        <v>42.583333333333336</v>
      </c>
      <c r="G25" s="7">
        <v>38.083333333333336</v>
      </c>
      <c r="H25" s="7">
        <v>25.916666666666668</v>
      </c>
      <c r="I25" s="7">
        <v>13.416666666666666</v>
      </c>
      <c r="J25" s="7">
        <v>8.6666666666666661</v>
      </c>
      <c r="K25" s="7">
        <v>9.8333333333333339</v>
      </c>
      <c r="L25" s="7">
        <v>11.666666666666666</v>
      </c>
      <c r="M25" s="7">
        <v>9.4166666666666661</v>
      </c>
    </row>
    <row r="26" spans="1:13" x14ac:dyDescent="0.2">
      <c r="A26" s="98" t="s">
        <v>39</v>
      </c>
      <c r="B26" s="98" t="s">
        <v>36</v>
      </c>
      <c r="C26" s="6">
        <f t="shared" ref="C26:M26" si="1">SUM(C16:C25)</f>
        <v>555.08333333333337</v>
      </c>
      <c r="D26" s="6">
        <f t="shared" si="1"/>
        <v>499.66666666666663</v>
      </c>
      <c r="E26" s="6">
        <f t="shared" si="1"/>
        <v>429.16666666666669</v>
      </c>
      <c r="F26" s="6">
        <f t="shared" si="1"/>
        <v>403.41666666666669</v>
      </c>
      <c r="G26" s="6">
        <f t="shared" si="1"/>
        <v>315.08333333333331</v>
      </c>
      <c r="H26" s="6">
        <f t="shared" si="1"/>
        <v>272.5</v>
      </c>
      <c r="I26" s="6">
        <f t="shared" si="1"/>
        <v>158.41666666666666</v>
      </c>
      <c r="J26" s="6">
        <f t="shared" si="1"/>
        <v>105.66666666666667</v>
      </c>
      <c r="K26" s="6">
        <f t="shared" si="1"/>
        <v>105.08333333333334</v>
      </c>
      <c r="L26" s="6">
        <f t="shared" si="1"/>
        <v>106.25</v>
      </c>
      <c r="M26" s="6">
        <f t="shared" si="1"/>
        <v>95.833333333333343</v>
      </c>
    </row>
    <row r="27" spans="1:13" x14ac:dyDescent="0.2">
      <c r="A27" s="180" t="s">
        <v>112</v>
      </c>
      <c r="B27" s="180" t="s">
        <v>67</v>
      </c>
      <c r="C27" s="186">
        <v>11.833333333333334</v>
      </c>
      <c r="D27" s="186">
        <v>8.8333333333333339</v>
      </c>
      <c r="E27" s="186">
        <v>9.5</v>
      </c>
      <c r="F27" s="186">
        <v>14.416666666666666</v>
      </c>
      <c r="G27" s="186">
        <v>22.5</v>
      </c>
      <c r="H27" s="186">
        <v>18.416666666666668</v>
      </c>
      <c r="I27" s="186">
        <v>9.9166666666666661</v>
      </c>
      <c r="J27" s="186">
        <v>9</v>
      </c>
      <c r="K27" s="186">
        <v>8</v>
      </c>
      <c r="L27" s="186">
        <v>5.083333333333333</v>
      </c>
      <c r="M27" s="186">
        <v>4.666666666666667</v>
      </c>
    </row>
    <row r="28" spans="1:13" x14ac:dyDescent="0.2">
      <c r="A28" s="96" t="s">
        <v>112</v>
      </c>
      <c r="B28" s="96" t="s">
        <v>68</v>
      </c>
      <c r="C28" s="7">
        <v>12.083333333333334</v>
      </c>
      <c r="D28" s="7">
        <v>19.416666666666668</v>
      </c>
      <c r="E28" s="7">
        <v>17.083333333333332</v>
      </c>
      <c r="F28" s="7">
        <v>16.166666666666668</v>
      </c>
      <c r="G28" s="7">
        <v>25.666666666666668</v>
      </c>
      <c r="H28" s="7">
        <v>17.666666666666668</v>
      </c>
      <c r="I28" s="7">
        <v>8.5</v>
      </c>
      <c r="J28" s="7">
        <v>7.416666666666667</v>
      </c>
      <c r="K28" s="7">
        <v>3.8333333333333335</v>
      </c>
      <c r="L28" s="7">
        <v>3.6666666666666665</v>
      </c>
      <c r="M28" s="7">
        <v>3.6666666666666665</v>
      </c>
    </row>
    <row r="29" spans="1:13" x14ac:dyDescent="0.2">
      <c r="A29" s="96" t="s">
        <v>112</v>
      </c>
      <c r="B29" s="96" t="s">
        <v>69</v>
      </c>
      <c r="C29" s="7">
        <v>58.083333333333336</v>
      </c>
      <c r="D29" s="7">
        <v>54.25</v>
      </c>
      <c r="E29" s="7">
        <v>58.083333333333336</v>
      </c>
      <c r="F29" s="7">
        <v>61.75</v>
      </c>
      <c r="G29" s="7">
        <v>61.083333333333336</v>
      </c>
      <c r="H29" s="7">
        <v>53.416666666666664</v>
      </c>
      <c r="I29" s="7">
        <v>31.5</v>
      </c>
      <c r="J29" s="7">
        <v>22.416666666666668</v>
      </c>
      <c r="K29" s="7">
        <v>17.833333333333332</v>
      </c>
      <c r="L29" s="7">
        <v>14</v>
      </c>
      <c r="M29" s="7">
        <v>12.5</v>
      </c>
    </row>
    <row r="30" spans="1:13" x14ac:dyDescent="0.2">
      <c r="A30" s="96" t="s">
        <v>112</v>
      </c>
      <c r="B30" s="96" t="s">
        <v>70</v>
      </c>
      <c r="C30" s="7">
        <v>12</v>
      </c>
      <c r="D30" s="7">
        <v>10.75</v>
      </c>
      <c r="E30" s="7">
        <v>12.25</v>
      </c>
      <c r="F30" s="7">
        <v>12.5</v>
      </c>
      <c r="G30" s="7">
        <v>4.75</v>
      </c>
      <c r="H30" s="7">
        <v>2.5833333333333335</v>
      </c>
      <c r="I30" s="7">
        <v>2.6666666666666665</v>
      </c>
      <c r="J30" s="7">
        <v>0.91666666666666663</v>
      </c>
      <c r="K30" s="7">
        <v>3.5833333333333335</v>
      </c>
      <c r="L30" s="7">
        <v>2.9166666666666665</v>
      </c>
      <c r="M30" s="7">
        <v>5.25</v>
      </c>
    </row>
    <row r="31" spans="1:13" x14ac:dyDescent="0.2">
      <c r="A31" s="96" t="s">
        <v>112</v>
      </c>
      <c r="B31" s="96" t="s">
        <v>71</v>
      </c>
      <c r="C31" s="7">
        <v>27.166666666666668</v>
      </c>
      <c r="D31" s="7">
        <v>29.75</v>
      </c>
      <c r="E31" s="7">
        <v>29.25</v>
      </c>
      <c r="F31" s="7">
        <v>27.5</v>
      </c>
      <c r="G31" s="7">
        <v>32.333333333333336</v>
      </c>
      <c r="H31" s="7">
        <v>32.666666666666664</v>
      </c>
      <c r="I31" s="7">
        <v>19.75</v>
      </c>
      <c r="J31" s="7">
        <v>21</v>
      </c>
      <c r="K31" s="7">
        <v>17.583333333333332</v>
      </c>
      <c r="L31" s="7">
        <v>12</v>
      </c>
      <c r="M31" s="7">
        <v>10.666666666666666</v>
      </c>
    </row>
    <row r="32" spans="1:13" x14ac:dyDescent="0.2">
      <c r="A32" s="96" t="s">
        <v>112</v>
      </c>
      <c r="B32" s="96" t="s">
        <v>72</v>
      </c>
      <c r="C32" s="7">
        <v>12.416666666666666</v>
      </c>
      <c r="D32" s="7">
        <v>16.583333333333332</v>
      </c>
      <c r="E32" s="7">
        <v>15.333333333333334</v>
      </c>
      <c r="F32" s="7">
        <v>22.583333333333332</v>
      </c>
      <c r="G32" s="7">
        <v>20.833333333333332</v>
      </c>
      <c r="H32" s="7">
        <v>17.25</v>
      </c>
      <c r="I32" s="7">
        <v>12.166666666666666</v>
      </c>
      <c r="J32" s="7">
        <v>8.9166666666666661</v>
      </c>
      <c r="K32" s="7">
        <v>7.583333333333333</v>
      </c>
      <c r="L32" s="7">
        <v>5.75</v>
      </c>
      <c r="M32" s="7">
        <v>4.583333333333333</v>
      </c>
    </row>
    <row r="33" spans="1:13" x14ac:dyDescent="0.2">
      <c r="A33" s="96" t="s">
        <v>112</v>
      </c>
      <c r="B33" s="96" t="s">
        <v>73</v>
      </c>
      <c r="C33" s="7">
        <v>2.8333333333333335</v>
      </c>
      <c r="D33" s="7">
        <v>4.333333333333333</v>
      </c>
      <c r="E33" s="7">
        <v>5.666666666666667</v>
      </c>
      <c r="F33" s="7">
        <v>10.333333333333334</v>
      </c>
      <c r="G33" s="7">
        <v>8.8333333333333339</v>
      </c>
      <c r="H33" s="7">
        <v>8.75</v>
      </c>
      <c r="I33" s="7">
        <v>5.583333333333333</v>
      </c>
      <c r="J33" s="7">
        <v>3.75</v>
      </c>
      <c r="K33" s="7">
        <v>2.3333333333333335</v>
      </c>
      <c r="L33" s="7">
        <v>5.5</v>
      </c>
      <c r="M33" s="7">
        <v>9.3333333333333339</v>
      </c>
    </row>
    <row r="34" spans="1:13" x14ac:dyDescent="0.2">
      <c r="A34" s="96" t="s">
        <v>112</v>
      </c>
      <c r="B34" s="96" t="s">
        <v>74</v>
      </c>
      <c r="C34" s="7">
        <v>8.1666666666666661</v>
      </c>
      <c r="D34" s="7">
        <v>7.583333333333333</v>
      </c>
      <c r="E34" s="7">
        <v>7.5</v>
      </c>
      <c r="F34" s="7">
        <v>5.25</v>
      </c>
      <c r="G34" s="7">
        <v>6.083333333333333</v>
      </c>
      <c r="H34" s="7">
        <v>4.5</v>
      </c>
      <c r="I34" s="7">
        <v>3.5833333333333335</v>
      </c>
      <c r="J34" s="7">
        <v>0.58333333333333337</v>
      </c>
      <c r="K34" s="7">
        <v>0.5</v>
      </c>
      <c r="L34" s="7">
        <v>0.41666666666666669</v>
      </c>
      <c r="M34" s="7">
        <v>2.25</v>
      </c>
    </row>
    <row r="35" spans="1:13" x14ac:dyDescent="0.2">
      <c r="A35" s="96" t="s">
        <v>112</v>
      </c>
      <c r="B35" s="96" t="s">
        <v>75</v>
      </c>
      <c r="C35" s="7">
        <v>34.416666666666664</v>
      </c>
      <c r="D35" s="7">
        <v>36.416666666666664</v>
      </c>
      <c r="E35" s="7">
        <v>33.083333333333336</v>
      </c>
      <c r="F35" s="7">
        <v>33.333333333333336</v>
      </c>
      <c r="G35" s="7">
        <v>35.666666666666664</v>
      </c>
      <c r="H35" s="7">
        <v>34.75</v>
      </c>
      <c r="I35" s="7">
        <v>29.5</v>
      </c>
      <c r="J35" s="7">
        <v>24.5</v>
      </c>
      <c r="K35" s="7">
        <v>18.166666666666668</v>
      </c>
      <c r="L35" s="7">
        <v>16.75</v>
      </c>
      <c r="M35" s="7">
        <v>12.333333333333334</v>
      </c>
    </row>
    <row r="36" spans="1:13" x14ac:dyDescent="0.2">
      <c r="A36" s="96" t="s">
        <v>112</v>
      </c>
      <c r="B36" s="96" t="s">
        <v>76</v>
      </c>
      <c r="C36" s="7">
        <v>22.083333333333332</v>
      </c>
      <c r="D36" s="7">
        <v>17.833333333333332</v>
      </c>
      <c r="E36" s="7">
        <v>21.833333333333332</v>
      </c>
      <c r="F36" s="7">
        <v>20.416666666666668</v>
      </c>
      <c r="G36" s="7">
        <v>26.5</v>
      </c>
      <c r="H36" s="7">
        <v>26.25</v>
      </c>
      <c r="I36" s="7">
        <v>10.083333333333334</v>
      </c>
      <c r="J36" s="7">
        <v>11.833333333333334</v>
      </c>
      <c r="K36" s="7">
        <v>11.75</v>
      </c>
      <c r="L36" s="7">
        <v>11.333333333333334</v>
      </c>
      <c r="M36" s="7">
        <v>4.5</v>
      </c>
    </row>
    <row r="37" spans="1:13" x14ac:dyDescent="0.2">
      <c r="A37" s="98" t="s">
        <v>112</v>
      </c>
      <c r="B37" s="98" t="s">
        <v>36</v>
      </c>
      <c r="C37" s="6">
        <f t="shared" ref="C37:M37" si="2">SUM(C27:C36)</f>
        <v>201.08333333333334</v>
      </c>
      <c r="D37" s="6">
        <f t="shared" si="2"/>
        <v>205.75000000000003</v>
      </c>
      <c r="E37" s="6">
        <f t="shared" si="2"/>
        <v>209.58333333333334</v>
      </c>
      <c r="F37" s="6">
        <f t="shared" si="2"/>
        <v>224.25000000000003</v>
      </c>
      <c r="G37" s="6">
        <f t="shared" si="2"/>
        <v>244.25000000000003</v>
      </c>
      <c r="H37" s="6">
        <f t="shared" si="2"/>
        <v>216.25</v>
      </c>
      <c r="I37" s="6">
        <f t="shared" si="2"/>
        <v>133.25</v>
      </c>
      <c r="J37" s="6">
        <f t="shared" si="2"/>
        <v>110.33333333333333</v>
      </c>
      <c r="K37" s="6">
        <f t="shared" si="2"/>
        <v>91.166666666666671</v>
      </c>
      <c r="L37" s="6">
        <f t="shared" si="2"/>
        <v>77.416666666666671</v>
      </c>
      <c r="M37" s="6">
        <f t="shared" si="2"/>
        <v>69.75</v>
      </c>
    </row>
    <row r="38" spans="1:13" x14ac:dyDescent="0.2">
      <c r="A38" s="180" t="s">
        <v>267</v>
      </c>
      <c r="B38" s="180" t="s">
        <v>67</v>
      </c>
      <c r="C38" s="186">
        <v>3.1666666666666665</v>
      </c>
      <c r="D38" s="186">
        <v>0.58333333333333337</v>
      </c>
      <c r="E38" s="186">
        <v>2.9166666666666665</v>
      </c>
      <c r="F38" s="186">
        <v>5.333333333333333</v>
      </c>
      <c r="G38" s="186">
        <v>4.333333333333333</v>
      </c>
      <c r="H38" s="186">
        <v>4.166666666666667</v>
      </c>
      <c r="I38" s="186">
        <v>2.4166666666666665</v>
      </c>
      <c r="J38" s="186">
        <v>3.0833333333333335</v>
      </c>
      <c r="K38" s="186">
        <v>2.1666666666666665</v>
      </c>
      <c r="L38" s="186">
        <v>2.8333333333333335</v>
      </c>
      <c r="M38" s="186">
        <v>4.333333333333333</v>
      </c>
    </row>
    <row r="39" spans="1:13" x14ac:dyDescent="0.2">
      <c r="A39" s="96" t="s">
        <v>267</v>
      </c>
      <c r="B39" s="96" t="s">
        <v>68</v>
      </c>
      <c r="C39" s="187">
        <v>1.6666666666666667</v>
      </c>
      <c r="D39" s="7">
        <v>4.083333333333333</v>
      </c>
      <c r="E39" s="7">
        <v>1.75</v>
      </c>
      <c r="F39" s="7">
        <v>1.75</v>
      </c>
      <c r="G39" s="7">
        <v>2.1666666666666665</v>
      </c>
      <c r="H39" s="7">
        <v>5.75</v>
      </c>
      <c r="I39" s="7">
        <v>5</v>
      </c>
      <c r="J39" s="7">
        <v>2.0833333333333335</v>
      </c>
      <c r="K39" s="7">
        <v>5.666666666666667</v>
      </c>
      <c r="L39" s="7">
        <v>3.5</v>
      </c>
      <c r="M39" s="7">
        <v>3.0833333333333335</v>
      </c>
    </row>
    <row r="40" spans="1:13" x14ac:dyDescent="0.2">
      <c r="A40" s="96" t="s">
        <v>267</v>
      </c>
      <c r="B40" s="96" t="s">
        <v>69</v>
      </c>
      <c r="C40" s="7">
        <v>13.833333333333334</v>
      </c>
      <c r="D40" s="7">
        <v>13.416666666666666</v>
      </c>
      <c r="E40" s="7">
        <v>13.666666666666666</v>
      </c>
      <c r="F40" s="7">
        <v>17.416666666666668</v>
      </c>
      <c r="G40" s="7">
        <v>27.166666666666668</v>
      </c>
      <c r="H40" s="7">
        <v>28.083333333333332</v>
      </c>
      <c r="I40" s="7">
        <v>21.75</v>
      </c>
      <c r="J40" s="7">
        <v>7</v>
      </c>
      <c r="K40" s="7">
        <v>8.1666666666666661</v>
      </c>
      <c r="L40" s="7">
        <v>12.75</v>
      </c>
      <c r="M40" s="7">
        <v>10</v>
      </c>
    </row>
    <row r="41" spans="1:13" x14ac:dyDescent="0.2">
      <c r="A41" s="96" t="s">
        <v>267</v>
      </c>
      <c r="B41" s="96" t="s">
        <v>70</v>
      </c>
      <c r="C41" s="7">
        <v>1.25</v>
      </c>
      <c r="D41" s="7">
        <v>0.83333333333333337</v>
      </c>
      <c r="E41" s="7">
        <v>2.75</v>
      </c>
      <c r="F41" s="7">
        <v>4</v>
      </c>
      <c r="G41" s="7">
        <v>2.8333333333333335</v>
      </c>
      <c r="H41" s="7">
        <v>0.25</v>
      </c>
      <c r="I41" s="7">
        <v>0.83333333333333337</v>
      </c>
      <c r="J41" s="7">
        <v>0.5</v>
      </c>
      <c r="K41" s="7">
        <v>5.666666666666667</v>
      </c>
      <c r="L41" s="7">
        <v>6.833333333333333</v>
      </c>
      <c r="M41" s="7">
        <v>3.9166666666666665</v>
      </c>
    </row>
    <row r="42" spans="1:13" x14ac:dyDescent="0.2">
      <c r="A42" s="96" t="s">
        <v>267</v>
      </c>
      <c r="B42" s="96" t="s">
        <v>71</v>
      </c>
      <c r="C42" s="7">
        <v>6.666666666666667</v>
      </c>
      <c r="D42" s="7">
        <v>8.6666666666666661</v>
      </c>
      <c r="E42" s="7">
        <v>10.416666666666666</v>
      </c>
      <c r="F42" s="7">
        <v>6.416666666666667</v>
      </c>
      <c r="G42" s="7">
        <v>3.5</v>
      </c>
      <c r="H42" s="7">
        <v>1.8333333333333333</v>
      </c>
      <c r="I42" s="7">
        <v>2.0833333333333335</v>
      </c>
      <c r="J42" s="7">
        <v>3.25</v>
      </c>
      <c r="K42" s="7">
        <v>7.333333333333333</v>
      </c>
      <c r="L42" s="7">
        <v>9.25</v>
      </c>
      <c r="M42" s="7">
        <v>13</v>
      </c>
    </row>
    <row r="43" spans="1:13" x14ac:dyDescent="0.2">
      <c r="A43" s="96" t="s">
        <v>267</v>
      </c>
      <c r="B43" s="96" t="s">
        <v>72</v>
      </c>
      <c r="C43" s="7">
        <v>5.25</v>
      </c>
      <c r="D43" s="7">
        <v>4.916666666666667</v>
      </c>
      <c r="E43" s="7">
        <v>2.8333333333333335</v>
      </c>
      <c r="F43" s="7">
        <v>2.0833333333333335</v>
      </c>
      <c r="G43" s="7">
        <v>2.3333333333333335</v>
      </c>
      <c r="H43" s="7">
        <v>1.25</v>
      </c>
      <c r="I43" s="7">
        <v>1.75</v>
      </c>
      <c r="J43" s="7">
        <v>4.25</v>
      </c>
      <c r="K43" s="7">
        <v>6.75</v>
      </c>
      <c r="L43" s="7">
        <v>9.5833333333333339</v>
      </c>
      <c r="M43" s="7">
        <v>8.8333333333333339</v>
      </c>
    </row>
    <row r="44" spans="1:13" x14ac:dyDescent="0.2">
      <c r="A44" s="96" t="s">
        <v>267</v>
      </c>
      <c r="B44" s="96" t="s">
        <v>73</v>
      </c>
      <c r="C44" s="7">
        <v>1.1666666666666667</v>
      </c>
      <c r="D44" s="7">
        <v>0.83333333333333337</v>
      </c>
      <c r="E44" s="7">
        <v>0.16666666666666666</v>
      </c>
      <c r="F44" s="7">
        <v>1.1666666666666667</v>
      </c>
      <c r="G44" s="7">
        <v>3</v>
      </c>
      <c r="H44" s="7">
        <v>3.1666666666666665</v>
      </c>
      <c r="I44" s="7">
        <v>2.4166666666666665</v>
      </c>
      <c r="J44" s="7">
        <v>1.75</v>
      </c>
      <c r="K44" s="7">
        <v>2.9166666666666665</v>
      </c>
      <c r="L44" s="7">
        <v>0.83333333333333337</v>
      </c>
      <c r="M44" s="7">
        <v>3.9166666666666665</v>
      </c>
    </row>
    <row r="45" spans="1:13" x14ac:dyDescent="0.2">
      <c r="A45" s="96" t="s">
        <v>267</v>
      </c>
      <c r="B45" s="96" t="s">
        <v>74</v>
      </c>
      <c r="C45" s="187">
        <v>1.0833333333333333</v>
      </c>
      <c r="D45" s="7">
        <v>0.83333333333333337</v>
      </c>
      <c r="E45" s="7">
        <v>0.16666666666666666</v>
      </c>
      <c r="F45" s="187">
        <v>0.41666666666666669</v>
      </c>
      <c r="G45" s="187">
        <v>0.83333333333333337</v>
      </c>
      <c r="H45" s="187">
        <v>1</v>
      </c>
      <c r="I45" s="187">
        <v>1.75</v>
      </c>
      <c r="J45" s="187">
        <v>8.3333333333333329E-2</v>
      </c>
      <c r="K45" s="187">
        <v>1.1666666666666667</v>
      </c>
      <c r="L45" s="187">
        <v>1</v>
      </c>
      <c r="M45" s="187">
        <v>2.0833333333333335</v>
      </c>
    </row>
    <row r="46" spans="1:13" x14ac:dyDescent="0.2">
      <c r="A46" s="96" t="s">
        <v>267</v>
      </c>
      <c r="B46" s="96" t="s">
        <v>75</v>
      </c>
      <c r="C46" s="7">
        <v>1.6666666666666667</v>
      </c>
      <c r="D46" s="7">
        <v>3.3333333333333335</v>
      </c>
      <c r="E46" s="7">
        <v>5.583333333333333</v>
      </c>
      <c r="F46" s="7">
        <v>6.5</v>
      </c>
      <c r="G46" s="7">
        <v>6.5</v>
      </c>
      <c r="H46" s="7">
        <v>4.166666666666667</v>
      </c>
      <c r="I46" s="7">
        <v>1.6666666666666667</v>
      </c>
      <c r="J46" s="7">
        <v>5</v>
      </c>
      <c r="K46" s="7">
        <v>7.5</v>
      </c>
      <c r="L46" s="7">
        <v>9.6666666666666661</v>
      </c>
      <c r="M46" s="7">
        <v>14.583333333333334</v>
      </c>
    </row>
    <row r="47" spans="1:13" x14ac:dyDescent="0.2">
      <c r="A47" s="96" t="s">
        <v>267</v>
      </c>
      <c r="B47" s="96" t="s">
        <v>76</v>
      </c>
      <c r="C47" s="7">
        <v>5.666666666666667</v>
      </c>
      <c r="D47" s="7">
        <v>5.25</v>
      </c>
      <c r="E47" s="7">
        <v>6</v>
      </c>
      <c r="F47" s="7">
        <v>4.083333333333333</v>
      </c>
      <c r="G47" s="7">
        <v>3.8333333333333335</v>
      </c>
      <c r="H47" s="7">
        <v>3.0833333333333335</v>
      </c>
      <c r="I47" s="7">
        <v>4.666666666666667</v>
      </c>
      <c r="J47" s="7">
        <v>4.75</v>
      </c>
      <c r="K47" s="7">
        <v>2.1666666666666665</v>
      </c>
      <c r="L47" s="7">
        <v>5.166666666666667</v>
      </c>
      <c r="M47" s="7">
        <v>5.416666666666667</v>
      </c>
    </row>
    <row r="48" spans="1:13" x14ac:dyDescent="0.2">
      <c r="A48" s="98" t="s">
        <v>267</v>
      </c>
      <c r="B48" s="98" t="s">
        <v>36</v>
      </c>
      <c r="C48" s="6">
        <f t="shared" ref="C48:M48" si="3">SUM(C38:C47)</f>
        <v>41.416666666666664</v>
      </c>
      <c r="D48" s="6">
        <f t="shared" si="3"/>
        <v>42.75</v>
      </c>
      <c r="E48" s="6">
        <f t="shared" si="3"/>
        <v>46.25</v>
      </c>
      <c r="F48" s="6">
        <f t="shared" si="3"/>
        <v>49.166666666666664</v>
      </c>
      <c r="G48" s="6">
        <f t="shared" si="3"/>
        <v>56.500000000000014</v>
      </c>
      <c r="H48" s="6">
        <f t="shared" si="3"/>
        <v>52.75</v>
      </c>
      <c r="I48" s="6">
        <f t="shared" si="3"/>
        <v>44.333333333333321</v>
      </c>
      <c r="J48" s="6">
        <f t="shared" si="3"/>
        <v>31.75</v>
      </c>
      <c r="K48" s="6">
        <f t="shared" si="3"/>
        <v>49.499999999999993</v>
      </c>
      <c r="L48" s="6">
        <f t="shared" si="3"/>
        <v>61.416666666666671</v>
      </c>
      <c r="M48" s="6">
        <f t="shared" si="3"/>
        <v>69.166666666666671</v>
      </c>
    </row>
  </sheetData>
  <phoneticPr fontId="19" type="noConversion"/>
  <pageMargins left="0.7" right="0.7" top="0.75" bottom="0.75" header="0.3" footer="0.3"/>
  <tableParts count="1">
    <tablePart r:id="rId1"/>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2E1E1F-23A1-4AA5-8178-5CC3CB289087}">
  <sheetPr codeName="Sheet14"/>
  <dimension ref="A1:P36"/>
  <sheetViews>
    <sheetView zoomScaleNormal="100" workbookViewId="0"/>
  </sheetViews>
  <sheetFormatPr defaultColWidth="8.6640625" defaultRowHeight="15" x14ac:dyDescent="0.2"/>
  <cols>
    <col min="1" max="1" width="17.33203125" customWidth="1"/>
    <col min="2" max="2" width="34.88671875" bestFit="1" customWidth="1"/>
    <col min="10" max="10" width="10.6640625" customWidth="1"/>
    <col min="11" max="11" width="10.33203125" customWidth="1"/>
    <col min="12" max="12" width="10.109375" customWidth="1"/>
    <col min="13" max="13" width="10.44140625" customWidth="1"/>
    <col min="14" max="14" width="10.109375" customWidth="1"/>
    <col min="15" max="15" width="9.6640625" customWidth="1"/>
    <col min="16" max="16" width="9.5546875" customWidth="1"/>
  </cols>
  <sheetData>
    <row r="1" spans="1:16" ht="15.75" x14ac:dyDescent="0.2">
      <c r="A1" s="38" t="s">
        <v>295</v>
      </c>
      <c r="B1" s="38"/>
      <c r="C1" s="34"/>
      <c r="D1" s="32"/>
      <c r="E1" s="32"/>
      <c r="F1" s="32"/>
      <c r="G1" s="32"/>
      <c r="H1" s="32"/>
      <c r="I1" s="32"/>
      <c r="J1" s="32"/>
      <c r="K1" s="28"/>
      <c r="L1" s="32"/>
      <c r="M1" s="32"/>
      <c r="N1" s="32"/>
      <c r="O1" s="32"/>
      <c r="P1" s="32"/>
    </row>
    <row r="2" spans="1:16" x14ac:dyDescent="0.2">
      <c r="A2" s="99" t="s">
        <v>121</v>
      </c>
      <c r="B2" s="99"/>
      <c r="C2" s="32"/>
      <c r="D2" s="32"/>
      <c r="E2" s="32"/>
      <c r="F2" s="32"/>
      <c r="G2" s="32"/>
      <c r="H2" s="32"/>
      <c r="I2" s="32"/>
      <c r="J2" s="32"/>
      <c r="K2" s="28"/>
      <c r="L2" s="32"/>
      <c r="M2" s="32"/>
      <c r="N2" s="32"/>
      <c r="O2" s="32"/>
      <c r="P2" s="32"/>
    </row>
    <row r="3" spans="1:16" x14ac:dyDescent="0.2">
      <c r="A3" s="99" t="s">
        <v>277</v>
      </c>
      <c r="B3" s="99"/>
      <c r="C3" s="32"/>
      <c r="D3" s="32"/>
      <c r="E3" s="32"/>
      <c r="F3" s="32"/>
      <c r="G3" s="32"/>
      <c r="H3" s="32"/>
      <c r="I3" s="32"/>
      <c r="J3" s="32"/>
      <c r="K3" s="28"/>
      <c r="L3" s="32"/>
      <c r="M3" s="32"/>
      <c r="N3" s="32"/>
      <c r="O3" s="32"/>
      <c r="P3" s="32"/>
    </row>
    <row r="4" spans="1:16" x14ac:dyDescent="0.2">
      <c r="A4" s="100" t="s">
        <v>281</v>
      </c>
      <c r="B4" s="100"/>
      <c r="C4" s="32"/>
      <c r="D4" s="32"/>
      <c r="E4" s="32"/>
      <c r="F4" s="32"/>
      <c r="G4" s="32"/>
      <c r="H4" s="32"/>
      <c r="I4" s="32"/>
      <c r="J4" s="32"/>
      <c r="K4" s="28"/>
      <c r="L4" s="32"/>
      <c r="M4" s="32"/>
      <c r="N4" s="32"/>
      <c r="O4" s="32"/>
      <c r="P4" s="32"/>
    </row>
    <row r="5" spans="1:16" ht="25.5" x14ac:dyDescent="0.2">
      <c r="A5" s="105" t="s">
        <v>163</v>
      </c>
      <c r="B5" s="214" t="s">
        <v>148</v>
      </c>
      <c r="C5" s="215" t="s">
        <v>132</v>
      </c>
      <c r="D5" s="215" t="s">
        <v>133</v>
      </c>
      <c r="E5" s="215" t="s">
        <v>134</v>
      </c>
      <c r="F5" s="215" t="s">
        <v>135</v>
      </c>
      <c r="G5" s="215" t="s">
        <v>169</v>
      </c>
      <c r="H5" s="215" t="s">
        <v>189</v>
      </c>
      <c r="I5" s="258" t="s">
        <v>242</v>
      </c>
      <c r="J5" s="215" t="s">
        <v>136</v>
      </c>
      <c r="K5" s="215" t="s">
        <v>137</v>
      </c>
      <c r="L5" s="215" t="s">
        <v>138</v>
      </c>
      <c r="M5" s="215" t="s">
        <v>139</v>
      </c>
      <c r="N5" s="215" t="s">
        <v>170</v>
      </c>
      <c r="O5" s="216" t="s">
        <v>191</v>
      </c>
      <c r="P5" s="216" t="s">
        <v>243</v>
      </c>
    </row>
    <row r="6" spans="1:16" x14ac:dyDescent="0.2">
      <c r="A6" s="102" t="s">
        <v>59</v>
      </c>
      <c r="B6" s="103" t="s">
        <v>79</v>
      </c>
      <c r="C6" s="109">
        <v>82</v>
      </c>
      <c r="D6" s="109">
        <v>93</v>
      </c>
      <c r="E6" s="109">
        <v>47</v>
      </c>
      <c r="F6" s="109">
        <v>53</v>
      </c>
      <c r="G6" s="109">
        <v>52</v>
      </c>
      <c r="H6" s="109">
        <v>38</v>
      </c>
      <c r="I6" s="259">
        <v>40</v>
      </c>
      <c r="J6" s="104">
        <f>C6/C$8</f>
        <v>3.0135979419331129E-2</v>
      </c>
      <c r="K6" s="104">
        <f t="shared" ref="K6:P8" si="0">D6/D$8</f>
        <v>3.8382170862567067E-2</v>
      </c>
      <c r="L6" s="30">
        <f t="shared" si="0"/>
        <v>3.0128205128205129E-2</v>
      </c>
      <c r="M6" s="30">
        <f t="shared" si="0"/>
        <v>3.7695590327169272E-2</v>
      </c>
      <c r="N6" s="30">
        <f t="shared" si="0"/>
        <v>4.1009463722397478E-2</v>
      </c>
      <c r="O6" s="30">
        <f t="shared" si="0"/>
        <v>2.6629292221443588E-2</v>
      </c>
      <c r="P6" s="30">
        <f t="shared" si="0"/>
        <v>2.9542097488921712E-2</v>
      </c>
    </row>
    <row r="7" spans="1:16" x14ac:dyDescent="0.2">
      <c r="A7" s="103" t="s">
        <v>59</v>
      </c>
      <c r="B7" s="103" t="s">
        <v>80</v>
      </c>
      <c r="C7" s="109">
        <v>2639</v>
      </c>
      <c r="D7" s="109">
        <v>2330</v>
      </c>
      <c r="E7" s="109">
        <v>1513</v>
      </c>
      <c r="F7" s="109">
        <v>1353</v>
      </c>
      <c r="G7" s="109">
        <v>1216</v>
      </c>
      <c r="H7" s="109">
        <v>1389</v>
      </c>
      <c r="I7" s="259">
        <v>1314</v>
      </c>
      <c r="J7" s="30">
        <f t="shared" ref="J7:J8" si="1">C7/C$8</f>
        <v>0.9698640205806689</v>
      </c>
      <c r="K7" s="30">
        <f t="shared" si="0"/>
        <v>0.96161782913743299</v>
      </c>
      <c r="L7" s="30">
        <f t="shared" si="0"/>
        <v>0.96987179487179487</v>
      </c>
      <c r="M7" s="30">
        <f t="shared" si="0"/>
        <v>0.96230440967283071</v>
      </c>
      <c r="N7" s="30">
        <f t="shared" si="0"/>
        <v>0.95899053627760256</v>
      </c>
      <c r="O7" s="30">
        <f t="shared" si="0"/>
        <v>0.97337070777855639</v>
      </c>
      <c r="P7" s="30">
        <f t="shared" si="0"/>
        <v>0.97045790251107833</v>
      </c>
    </row>
    <row r="8" spans="1:16" x14ac:dyDescent="0.2">
      <c r="A8" s="105" t="s">
        <v>59</v>
      </c>
      <c r="B8" s="105" t="s">
        <v>36</v>
      </c>
      <c r="C8" s="106">
        <v>2721</v>
      </c>
      <c r="D8" s="106">
        <v>2423</v>
      </c>
      <c r="E8" s="106">
        <v>1560</v>
      </c>
      <c r="F8" s="107">
        <v>1406</v>
      </c>
      <c r="G8" s="107">
        <v>1268</v>
      </c>
      <c r="H8" s="107">
        <v>1427</v>
      </c>
      <c r="I8" s="260">
        <v>1354</v>
      </c>
      <c r="J8" s="108">
        <f t="shared" si="1"/>
        <v>1</v>
      </c>
      <c r="K8" s="108">
        <f t="shared" si="0"/>
        <v>1</v>
      </c>
      <c r="L8" s="108">
        <f t="shared" si="0"/>
        <v>1</v>
      </c>
      <c r="M8" s="108">
        <f t="shared" si="0"/>
        <v>1</v>
      </c>
      <c r="N8" s="108">
        <f t="shared" si="0"/>
        <v>1</v>
      </c>
      <c r="O8" s="108">
        <f t="shared" si="0"/>
        <v>1</v>
      </c>
      <c r="P8" s="108">
        <f t="shared" si="0"/>
        <v>1</v>
      </c>
    </row>
    <row r="9" spans="1:16" x14ac:dyDescent="0.2">
      <c r="A9" s="102" t="s">
        <v>336</v>
      </c>
      <c r="B9" s="102" t="s">
        <v>77</v>
      </c>
      <c r="C9" s="109">
        <v>1214</v>
      </c>
      <c r="D9" s="109">
        <v>1171</v>
      </c>
      <c r="E9" s="109">
        <v>778</v>
      </c>
      <c r="F9" s="110">
        <v>705</v>
      </c>
      <c r="G9" s="110">
        <v>567</v>
      </c>
      <c r="H9" s="110">
        <v>690</v>
      </c>
      <c r="I9" s="261">
        <v>644</v>
      </c>
      <c r="J9" s="104">
        <f>C9/C$11</f>
        <v>0.45029673590504449</v>
      </c>
      <c r="K9" s="104">
        <f t="shared" ref="K9:P11" si="2">D9/D$11</f>
        <v>0.48649771499792271</v>
      </c>
      <c r="L9" s="104">
        <f t="shared" si="2"/>
        <v>0.50421257290991572</v>
      </c>
      <c r="M9" s="104">
        <f t="shared" si="2"/>
        <v>0.50646551724137934</v>
      </c>
      <c r="N9" s="104">
        <f t="shared" si="2"/>
        <v>0.45251396648044695</v>
      </c>
      <c r="O9" s="104">
        <f t="shared" si="2"/>
        <v>0.49250535331905781</v>
      </c>
      <c r="P9" s="104">
        <f t="shared" si="2"/>
        <v>0.48421052631578948</v>
      </c>
    </row>
    <row r="10" spans="1:16" x14ac:dyDescent="0.2">
      <c r="A10" s="103" t="s">
        <v>336</v>
      </c>
      <c r="B10" s="111" t="s">
        <v>65</v>
      </c>
      <c r="C10" s="109">
        <v>1482</v>
      </c>
      <c r="D10" s="109">
        <v>1236</v>
      </c>
      <c r="E10" s="109">
        <v>765</v>
      </c>
      <c r="F10" s="109">
        <v>687</v>
      </c>
      <c r="G10" s="109">
        <v>686</v>
      </c>
      <c r="H10" s="109">
        <v>711</v>
      </c>
      <c r="I10" s="259">
        <v>686</v>
      </c>
      <c r="J10" s="30">
        <f t="shared" ref="J10:J11" si="3">C10/C$11</f>
        <v>0.54970326409495551</v>
      </c>
      <c r="K10" s="30">
        <f t="shared" si="2"/>
        <v>0.51350228500207729</v>
      </c>
      <c r="L10" s="30">
        <f t="shared" si="2"/>
        <v>0.49578742709008428</v>
      </c>
      <c r="M10" s="30">
        <f t="shared" si="2"/>
        <v>0.49353448275862066</v>
      </c>
      <c r="N10" s="30">
        <f t="shared" si="2"/>
        <v>0.54748603351955305</v>
      </c>
      <c r="O10" s="30">
        <f t="shared" si="2"/>
        <v>0.50749464668094213</v>
      </c>
      <c r="P10" s="30">
        <f t="shared" si="2"/>
        <v>0.51578947368421058</v>
      </c>
    </row>
    <row r="11" spans="1:16" x14ac:dyDescent="0.2">
      <c r="A11" s="105" t="s">
        <v>336</v>
      </c>
      <c r="B11" s="112" t="s">
        <v>36</v>
      </c>
      <c r="C11" s="113">
        <v>2696</v>
      </c>
      <c r="D11" s="113">
        <v>2407</v>
      </c>
      <c r="E11" s="113">
        <v>1543</v>
      </c>
      <c r="F11" s="113">
        <v>1392</v>
      </c>
      <c r="G11" s="113">
        <v>1253</v>
      </c>
      <c r="H11" s="113">
        <v>1401</v>
      </c>
      <c r="I11" s="262">
        <v>1330</v>
      </c>
      <c r="J11" s="114">
        <f t="shared" si="3"/>
        <v>1</v>
      </c>
      <c r="K11" s="114">
        <f t="shared" si="2"/>
        <v>1</v>
      </c>
      <c r="L11" s="115">
        <f t="shared" si="2"/>
        <v>1</v>
      </c>
      <c r="M11" s="115">
        <f t="shared" si="2"/>
        <v>1</v>
      </c>
      <c r="N11" s="115">
        <f t="shared" si="2"/>
        <v>1</v>
      </c>
      <c r="O11" s="115">
        <f t="shared" si="2"/>
        <v>1</v>
      </c>
      <c r="P11" s="115">
        <f t="shared" si="2"/>
        <v>1</v>
      </c>
    </row>
    <row r="12" spans="1:16" x14ac:dyDescent="0.2">
      <c r="A12" s="102" t="s">
        <v>154</v>
      </c>
      <c r="B12" s="102" t="s">
        <v>67</v>
      </c>
      <c r="C12" s="110">
        <v>200</v>
      </c>
      <c r="D12" s="110">
        <v>160</v>
      </c>
      <c r="E12" s="110">
        <v>108</v>
      </c>
      <c r="F12" s="110">
        <v>119</v>
      </c>
      <c r="G12" s="110">
        <v>98</v>
      </c>
      <c r="H12" s="110">
        <v>109</v>
      </c>
      <c r="I12" s="261">
        <v>94</v>
      </c>
      <c r="J12" s="116">
        <f>C12/C$22</f>
        <v>7.358351729212656E-2</v>
      </c>
      <c r="K12" s="116">
        <f t="shared" ref="K12:P22" si="4">D12/D$22</f>
        <v>6.6033842344201399E-2</v>
      </c>
      <c r="L12" s="116">
        <f>E12/E$22</f>
        <v>6.9230769230769235E-2</v>
      </c>
      <c r="M12" s="116">
        <f t="shared" si="4"/>
        <v>8.4637268847795169E-2</v>
      </c>
      <c r="N12" s="116">
        <f t="shared" si="4"/>
        <v>7.7287066246056788E-2</v>
      </c>
      <c r="O12" s="116">
        <f t="shared" si="4"/>
        <v>7.6384022424667131E-2</v>
      </c>
      <c r="P12" s="116">
        <f t="shared" si="4"/>
        <v>6.9423929098966025E-2</v>
      </c>
    </row>
    <row r="13" spans="1:16" x14ac:dyDescent="0.2">
      <c r="A13" s="103" t="s">
        <v>154</v>
      </c>
      <c r="B13" s="103" t="s">
        <v>68</v>
      </c>
      <c r="C13" s="109">
        <v>262</v>
      </c>
      <c r="D13" s="109">
        <v>206</v>
      </c>
      <c r="E13" s="109">
        <v>116</v>
      </c>
      <c r="F13" s="109">
        <v>136</v>
      </c>
      <c r="G13" s="109">
        <v>122</v>
      </c>
      <c r="H13" s="109">
        <v>115</v>
      </c>
      <c r="I13" s="259">
        <v>114</v>
      </c>
      <c r="J13" s="213">
        <f t="shared" ref="J13:J22" si="5">C13/C$22</f>
        <v>9.6394407652685796E-2</v>
      </c>
      <c r="K13" s="213">
        <f t="shared" si="4"/>
        <v>8.5018572018159308E-2</v>
      </c>
      <c r="L13" s="30">
        <f t="shared" si="4"/>
        <v>7.4358974358974358E-2</v>
      </c>
      <c r="M13" s="30">
        <f t="shared" si="4"/>
        <v>9.6728307254623044E-2</v>
      </c>
      <c r="N13" s="30">
        <f t="shared" si="4"/>
        <v>9.6214511041009462E-2</v>
      </c>
      <c r="O13" s="30">
        <f t="shared" si="4"/>
        <v>8.0588647512263495E-2</v>
      </c>
      <c r="P13" s="30">
        <f t="shared" si="4"/>
        <v>8.4194977843426888E-2</v>
      </c>
    </row>
    <row r="14" spans="1:16" x14ac:dyDescent="0.2">
      <c r="A14" s="103" t="s">
        <v>154</v>
      </c>
      <c r="B14" s="103" t="s">
        <v>69</v>
      </c>
      <c r="C14" s="109">
        <v>793</v>
      </c>
      <c r="D14" s="109">
        <v>715</v>
      </c>
      <c r="E14" s="109">
        <v>465</v>
      </c>
      <c r="F14" s="109">
        <v>376</v>
      </c>
      <c r="G14" s="109">
        <v>296</v>
      </c>
      <c r="H14" s="109">
        <v>325</v>
      </c>
      <c r="I14" s="259">
        <v>279</v>
      </c>
      <c r="J14" s="213">
        <f t="shared" si="5"/>
        <v>0.29175864606328183</v>
      </c>
      <c r="K14" s="213">
        <f t="shared" si="4"/>
        <v>0.29508873297565003</v>
      </c>
      <c r="L14" s="30">
        <f t="shared" si="4"/>
        <v>0.29807692307692307</v>
      </c>
      <c r="M14" s="30">
        <f t="shared" si="4"/>
        <v>0.26742532005689901</v>
      </c>
      <c r="N14" s="30">
        <f t="shared" si="4"/>
        <v>0.2334384858044164</v>
      </c>
      <c r="O14" s="30">
        <f t="shared" si="4"/>
        <v>0.22775052557813594</v>
      </c>
      <c r="P14" s="30">
        <f t="shared" si="4"/>
        <v>0.20605612998522896</v>
      </c>
    </row>
    <row r="15" spans="1:16" x14ac:dyDescent="0.2">
      <c r="A15" s="103" t="s">
        <v>154</v>
      </c>
      <c r="B15" s="103" t="s">
        <v>70</v>
      </c>
      <c r="C15" s="109">
        <v>100</v>
      </c>
      <c r="D15" s="109">
        <v>52</v>
      </c>
      <c r="E15" s="109">
        <v>46</v>
      </c>
      <c r="F15" s="109">
        <v>43</v>
      </c>
      <c r="G15" s="109">
        <v>56</v>
      </c>
      <c r="H15" s="109">
        <v>70</v>
      </c>
      <c r="I15" s="259">
        <v>121</v>
      </c>
      <c r="J15" s="213">
        <f t="shared" si="5"/>
        <v>3.679175864606328E-2</v>
      </c>
      <c r="K15" s="213">
        <f t="shared" si="4"/>
        <v>2.1460998761865455E-2</v>
      </c>
      <c r="L15" s="30">
        <f t="shared" si="4"/>
        <v>2.9487179487179487E-2</v>
      </c>
      <c r="M15" s="30">
        <f t="shared" si="4"/>
        <v>3.0583214793741108E-2</v>
      </c>
      <c r="N15" s="30">
        <f t="shared" si="4"/>
        <v>4.4164037854889593E-2</v>
      </c>
      <c r="O15" s="30">
        <f t="shared" si="4"/>
        <v>4.9053959355290819E-2</v>
      </c>
      <c r="P15" s="30">
        <f t="shared" si="4"/>
        <v>8.9364844903988189E-2</v>
      </c>
    </row>
    <row r="16" spans="1:16" x14ac:dyDescent="0.2">
      <c r="A16" s="103" t="s">
        <v>154</v>
      </c>
      <c r="B16" s="103" t="s">
        <v>71</v>
      </c>
      <c r="C16" s="109">
        <v>354</v>
      </c>
      <c r="D16" s="109">
        <v>353</v>
      </c>
      <c r="E16" s="109">
        <v>210</v>
      </c>
      <c r="F16" s="109">
        <v>193</v>
      </c>
      <c r="G16" s="109">
        <v>233</v>
      </c>
      <c r="H16" s="109">
        <v>236</v>
      </c>
      <c r="I16" s="259">
        <v>198</v>
      </c>
      <c r="J16" s="213">
        <f t="shared" si="5"/>
        <v>0.13024282560706402</v>
      </c>
      <c r="K16" s="213">
        <f t="shared" si="4"/>
        <v>0.14568716467189435</v>
      </c>
      <c r="L16" s="30">
        <f t="shared" si="4"/>
        <v>0.13461538461538461</v>
      </c>
      <c r="M16" s="30">
        <f t="shared" si="4"/>
        <v>0.13726884779516357</v>
      </c>
      <c r="N16" s="30">
        <f t="shared" si="4"/>
        <v>0.18375394321766561</v>
      </c>
      <c r="O16" s="30">
        <f t="shared" si="4"/>
        <v>0.16538192011212333</v>
      </c>
      <c r="P16" s="30">
        <f t="shared" si="4"/>
        <v>0.14623338257016247</v>
      </c>
    </row>
    <row r="17" spans="1:16" x14ac:dyDescent="0.2">
      <c r="A17" s="103" t="s">
        <v>154</v>
      </c>
      <c r="B17" s="103" t="s">
        <v>72</v>
      </c>
      <c r="C17" s="109">
        <v>222</v>
      </c>
      <c r="D17" s="109">
        <v>176</v>
      </c>
      <c r="E17" s="109">
        <v>121</v>
      </c>
      <c r="F17" s="109">
        <v>103</v>
      </c>
      <c r="G17" s="109">
        <v>128</v>
      </c>
      <c r="H17" s="109">
        <v>136</v>
      </c>
      <c r="I17" s="259">
        <v>156</v>
      </c>
      <c r="J17" s="213">
        <f t="shared" si="5"/>
        <v>8.1677704194260486E-2</v>
      </c>
      <c r="K17" s="213">
        <f t="shared" si="4"/>
        <v>7.2637226578621539E-2</v>
      </c>
      <c r="L17" s="30">
        <f t="shared" si="4"/>
        <v>7.7564102564102566E-2</v>
      </c>
      <c r="M17" s="30">
        <f t="shared" si="4"/>
        <v>7.3257467994310099E-2</v>
      </c>
      <c r="N17" s="30">
        <f t="shared" si="4"/>
        <v>0.10094637223974763</v>
      </c>
      <c r="O17" s="30">
        <f t="shared" si="4"/>
        <v>9.5304835318850742E-2</v>
      </c>
      <c r="P17" s="30">
        <f t="shared" si="4"/>
        <v>0.11521418020679468</v>
      </c>
    </row>
    <row r="18" spans="1:16" x14ac:dyDescent="0.2">
      <c r="A18" s="103" t="s">
        <v>154</v>
      </c>
      <c r="B18" s="103" t="s">
        <v>73</v>
      </c>
      <c r="C18" s="109">
        <v>105</v>
      </c>
      <c r="D18" s="109">
        <v>111</v>
      </c>
      <c r="E18" s="109">
        <v>78</v>
      </c>
      <c r="F18" s="109">
        <v>62</v>
      </c>
      <c r="G18" s="109">
        <v>43</v>
      </c>
      <c r="H18" s="109">
        <v>69</v>
      </c>
      <c r="I18" s="259">
        <v>83</v>
      </c>
      <c r="J18" s="213">
        <f t="shared" si="5"/>
        <v>3.8631346578366449E-2</v>
      </c>
      <c r="K18" s="213">
        <f t="shared" si="4"/>
        <v>4.5810978126289724E-2</v>
      </c>
      <c r="L18" s="30">
        <f t="shared" si="4"/>
        <v>0.05</v>
      </c>
      <c r="M18" s="30">
        <f t="shared" si="4"/>
        <v>4.4096728307254626E-2</v>
      </c>
      <c r="N18" s="30">
        <f t="shared" si="4"/>
        <v>3.3911671924290218E-2</v>
      </c>
      <c r="O18" s="30">
        <f t="shared" si="4"/>
        <v>4.8353188507358091E-2</v>
      </c>
      <c r="P18" s="30">
        <f t="shared" si="4"/>
        <v>6.1299852289512555E-2</v>
      </c>
    </row>
    <row r="19" spans="1:16" x14ac:dyDescent="0.2">
      <c r="A19" s="103" t="s">
        <v>154</v>
      </c>
      <c r="B19" s="103" t="s">
        <v>74</v>
      </c>
      <c r="C19" s="109">
        <v>75</v>
      </c>
      <c r="D19" s="109">
        <v>90</v>
      </c>
      <c r="E19" s="109">
        <v>54</v>
      </c>
      <c r="F19" s="109">
        <v>46</v>
      </c>
      <c r="G19" s="109">
        <v>43</v>
      </c>
      <c r="H19" s="109">
        <v>65</v>
      </c>
      <c r="I19" s="259">
        <v>50</v>
      </c>
      <c r="J19" s="213">
        <f t="shared" si="5"/>
        <v>2.759381898454746E-2</v>
      </c>
      <c r="K19" s="213">
        <f t="shared" si="4"/>
        <v>3.7144036318613287E-2</v>
      </c>
      <c r="L19" s="30">
        <f t="shared" si="4"/>
        <v>3.4615384615384617E-2</v>
      </c>
      <c r="M19" s="30">
        <f t="shared" si="4"/>
        <v>3.2716927453769556E-2</v>
      </c>
      <c r="N19" s="30">
        <f t="shared" si="4"/>
        <v>3.3911671924290218E-2</v>
      </c>
      <c r="O19" s="30">
        <f t="shared" si="4"/>
        <v>4.5550105115627189E-2</v>
      </c>
      <c r="P19" s="30">
        <f t="shared" si="4"/>
        <v>3.6927621861152143E-2</v>
      </c>
    </row>
    <row r="20" spans="1:16" x14ac:dyDescent="0.2">
      <c r="A20" s="103" t="s">
        <v>154</v>
      </c>
      <c r="B20" s="103" t="s">
        <v>75</v>
      </c>
      <c r="C20" s="109">
        <v>330</v>
      </c>
      <c r="D20" s="109">
        <v>317</v>
      </c>
      <c r="E20" s="109">
        <v>214</v>
      </c>
      <c r="F20" s="109">
        <v>197</v>
      </c>
      <c r="G20" s="109">
        <v>134</v>
      </c>
      <c r="H20" s="109">
        <v>149</v>
      </c>
      <c r="I20" s="259">
        <v>140</v>
      </c>
      <c r="J20" s="213">
        <f t="shared" si="5"/>
        <v>0.12141280353200883</v>
      </c>
      <c r="K20" s="213">
        <f t="shared" si="4"/>
        <v>0.13082955014444902</v>
      </c>
      <c r="L20" s="30">
        <f t="shared" si="4"/>
        <v>0.13717948717948719</v>
      </c>
      <c r="M20" s="30">
        <f t="shared" si="4"/>
        <v>0.14011379800853485</v>
      </c>
      <c r="N20" s="30">
        <f t="shared" si="4"/>
        <v>0.1056782334384858</v>
      </c>
      <c r="O20" s="30">
        <f t="shared" si="4"/>
        <v>0.10441485634197617</v>
      </c>
      <c r="P20" s="30">
        <f t="shared" si="4"/>
        <v>0.103397341211226</v>
      </c>
    </row>
    <row r="21" spans="1:16" x14ac:dyDescent="0.2">
      <c r="A21" s="103" t="s">
        <v>154</v>
      </c>
      <c r="B21" s="103" t="s">
        <v>76</v>
      </c>
      <c r="C21" s="109">
        <v>277</v>
      </c>
      <c r="D21" s="109">
        <v>243</v>
      </c>
      <c r="E21" s="109">
        <v>148</v>
      </c>
      <c r="F21" s="109">
        <v>131</v>
      </c>
      <c r="G21" s="109">
        <v>115</v>
      </c>
      <c r="H21" s="109">
        <v>153</v>
      </c>
      <c r="I21" s="259">
        <v>119</v>
      </c>
      <c r="J21" s="213">
        <f t="shared" si="5"/>
        <v>0.10191317144959529</v>
      </c>
      <c r="K21" s="213">
        <f t="shared" si="4"/>
        <v>0.10028889806025588</v>
      </c>
      <c r="L21" s="30">
        <f t="shared" si="4"/>
        <v>9.4871794871794868E-2</v>
      </c>
      <c r="M21" s="30">
        <f t="shared" si="4"/>
        <v>9.3172119487908961E-2</v>
      </c>
      <c r="N21" s="30">
        <f t="shared" si="4"/>
        <v>9.069400630914827E-2</v>
      </c>
      <c r="O21" s="30">
        <f t="shared" si="4"/>
        <v>0.10721793973370708</v>
      </c>
      <c r="P21" s="30">
        <f t="shared" si="4"/>
        <v>8.7887740029542097E-2</v>
      </c>
    </row>
    <row r="22" spans="1:16" x14ac:dyDescent="0.2">
      <c r="A22" s="117" t="s">
        <v>154</v>
      </c>
      <c r="B22" s="117" t="s">
        <v>36</v>
      </c>
      <c r="C22" s="107">
        <v>2718</v>
      </c>
      <c r="D22" s="107">
        <v>2423</v>
      </c>
      <c r="E22" s="107">
        <v>1560</v>
      </c>
      <c r="F22" s="107">
        <v>1406</v>
      </c>
      <c r="G22" s="107">
        <v>1268</v>
      </c>
      <c r="H22" s="107">
        <v>1427</v>
      </c>
      <c r="I22" s="260">
        <v>1354</v>
      </c>
      <c r="J22" s="114">
        <f t="shared" si="5"/>
        <v>1</v>
      </c>
      <c r="K22" s="114">
        <f t="shared" si="4"/>
        <v>1</v>
      </c>
      <c r="L22" s="115">
        <f t="shared" si="4"/>
        <v>1</v>
      </c>
      <c r="M22" s="115">
        <f t="shared" si="4"/>
        <v>1</v>
      </c>
      <c r="N22" s="115">
        <f t="shared" si="4"/>
        <v>1</v>
      </c>
      <c r="O22" s="115">
        <f t="shared" si="4"/>
        <v>1</v>
      </c>
      <c r="P22" s="115">
        <f t="shared" si="4"/>
        <v>1</v>
      </c>
    </row>
    <row r="23" spans="1:16" x14ac:dyDescent="0.2">
      <c r="A23" s="102" t="s">
        <v>156</v>
      </c>
      <c r="B23" s="102" t="s">
        <v>81</v>
      </c>
      <c r="C23" s="110">
        <v>714</v>
      </c>
      <c r="D23" s="110">
        <v>563</v>
      </c>
      <c r="E23" s="110">
        <v>258</v>
      </c>
      <c r="F23" s="110">
        <v>304</v>
      </c>
      <c r="G23" s="110">
        <v>326</v>
      </c>
      <c r="H23" s="110">
        <v>397</v>
      </c>
      <c r="I23" s="261">
        <v>353</v>
      </c>
      <c r="J23" s="116">
        <f>C23/C$27</f>
        <v>0.26250000000000001</v>
      </c>
      <c r="K23" s="118">
        <f t="shared" ref="K23:P27" si="6">D23/D$27</f>
        <v>0.23254853366377529</v>
      </c>
      <c r="L23" s="116">
        <f t="shared" si="6"/>
        <v>0.16549069916613213</v>
      </c>
      <c r="M23" s="116">
        <f t="shared" si="6"/>
        <v>0.21637010676156584</v>
      </c>
      <c r="N23" s="116">
        <f t="shared" si="6"/>
        <v>0.25709779179810727</v>
      </c>
      <c r="O23" s="116">
        <f t="shared" si="6"/>
        <v>0.27820602662929222</v>
      </c>
      <c r="P23" s="116">
        <f t="shared" si="6"/>
        <v>0.26070901033973415</v>
      </c>
    </row>
    <row r="24" spans="1:16" x14ac:dyDescent="0.2">
      <c r="A24" s="103" t="s">
        <v>156</v>
      </c>
      <c r="B24" s="103" t="s">
        <v>82</v>
      </c>
      <c r="C24" s="109">
        <v>1613</v>
      </c>
      <c r="D24" s="109">
        <v>1472</v>
      </c>
      <c r="E24" s="109">
        <v>989</v>
      </c>
      <c r="F24" s="109">
        <v>819</v>
      </c>
      <c r="G24" s="109">
        <v>775</v>
      </c>
      <c r="H24" s="109">
        <v>853</v>
      </c>
      <c r="I24" s="259">
        <v>800</v>
      </c>
      <c r="J24" s="213">
        <f t="shared" ref="J24:J27" si="7">C24/C$27</f>
        <v>0.59301470588235294</v>
      </c>
      <c r="K24" s="213">
        <f t="shared" si="6"/>
        <v>0.60801321767864513</v>
      </c>
      <c r="L24" s="30">
        <f t="shared" si="6"/>
        <v>0.63438101347017317</v>
      </c>
      <c r="M24" s="30">
        <f t="shared" si="6"/>
        <v>0.58291814946619214</v>
      </c>
      <c r="N24" s="30">
        <f t="shared" si="6"/>
        <v>0.61119873817034698</v>
      </c>
      <c r="O24" s="30">
        <f t="shared" si="6"/>
        <v>0.59775753328661529</v>
      </c>
      <c r="P24" s="30">
        <f t="shared" si="6"/>
        <v>0.59084194977843429</v>
      </c>
    </row>
    <row r="25" spans="1:16" x14ac:dyDescent="0.2">
      <c r="A25" s="103" t="s">
        <v>156</v>
      </c>
      <c r="B25" s="103" t="s">
        <v>83</v>
      </c>
      <c r="C25" s="109">
        <v>30</v>
      </c>
      <c r="D25" s="109">
        <v>26</v>
      </c>
      <c r="E25" s="109">
        <v>16</v>
      </c>
      <c r="F25" s="109">
        <v>13</v>
      </c>
      <c r="G25" s="109">
        <v>12</v>
      </c>
      <c r="H25" s="109">
        <v>12</v>
      </c>
      <c r="I25" s="259">
        <v>11</v>
      </c>
      <c r="J25" s="213">
        <f t="shared" si="7"/>
        <v>1.1029411764705883E-2</v>
      </c>
      <c r="K25" s="213">
        <f t="shared" si="6"/>
        <v>1.0739363899215201E-2</v>
      </c>
      <c r="L25" s="30">
        <f t="shared" si="6"/>
        <v>1.0262989095574085E-2</v>
      </c>
      <c r="M25" s="30">
        <f t="shared" si="6"/>
        <v>9.2526690391459068E-3</v>
      </c>
      <c r="N25" s="30">
        <f t="shared" si="6"/>
        <v>9.4637223974763408E-3</v>
      </c>
      <c r="O25" s="30">
        <f t="shared" si="6"/>
        <v>8.4092501751927128E-3</v>
      </c>
      <c r="P25" s="30">
        <f t="shared" si="6"/>
        <v>8.1240768094534704E-3</v>
      </c>
    </row>
    <row r="26" spans="1:16" x14ac:dyDescent="0.2">
      <c r="A26" s="103" t="s">
        <v>156</v>
      </c>
      <c r="B26" s="103" t="s">
        <v>84</v>
      </c>
      <c r="C26" s="109">
        <v>363</v>
      </c>
      <c r="D26" s="109">
        <v>360</v>
      </c>
      <c r="E26" s="109">
        <v>296</v>
      </c>
      <c r="F26" s="109">
        <v>269</v>
      </c>
      <c r="G26" s="109">
        <v>155</v>
      </c>
      <c r="H26" s="109">
        <v>165</v>
      </c>
      <c r="I26" s="259">
        <v>190</v>
      </c>
      <c r="J26" s="213">
        <f>C26/C$27</f>
        <v>0.13345588235294117</v>
      </c>
      <c r="K26" s="213">
        <f t="shared" si="6"/>
        <v>0.14869888475836432</v>
      </c>
      <c r="L26" s="30">
        <f t="shared" si="6"/>
        <v>0.1898652982681206</v>
      </c>
      <c r="M26" s="30">
        <f t="shared" si="6"/>
        <v>0.19145907473309609</v>
      </c>
      <c r="N26" s="30">
        <f t="shared" si="6"/>
        <v>0.1222397476340694</v>
      </c>
      <c r="O26" s="30">
        <f t="shared" si="6"/>
        <v>0.11562718990889979</v>
      </c>
      <c r="P26" s="30">
        <f t="shared" si="6"/>
        <v>0.14032496307237813</v>
      </c>
    </row>
    <row r="27" spans="1:16" x14ac:dyDescent="0.2">
      <c r="A27" s="112" t="s">
        <v>156</v>
      </c>
      <c r="B27" s="112" t="s">
        <v>36</v>
      </c>
      <c r="C27" s="107">
        <v>2720</v>
      </c>
      <c r="D27" s="107">
        <v>2421</v>
      </c>
      <c r="E27" s="107">
        <v>1559</v>
      </c>
      <c r="F27" s="107">
        <v>1405</v>
      </c>
      <c r="G27" s="107">
        <v>1268</v>
      </c>
      <c r="H27" s="107">
        <v>1427</v>
      </c>
      <c r="I27" s="260">
        <v>1354</v>
      </c>
      <c r="J27" s="114">
        <f t="shared" si="7"/>
        <v>1</v>
      </c>
      <c r="K27" s="114">
        <f t="shared" si="6"/>
        <v>1</v>
      </c>
      <c r="L27" s="115">
        <f t="shared" si="6"/>
        <v>1</v>
      </c>
      <c r="M27" s="115">
        <f t="shared" si="6"/>
        <v>1</v>
      </c>
      <c r="N27" s="115">
        <f t="shared" si="6"/>
        <v>1</v>
      </c>
      <c r="O27" s="115">
        <f t="shared" si="6"/>
        <v>1</v>
      </c>
      <c r="P27" s="115">
        <f t="shared" si="6"/>
        <v>1</v>
      </c>
    </row>
    <row r="28" spans="1:16" x14ac:dyDescent="0.2">
      <c r="A28" s="102" t="s">
        <v>155</v>
      </c>
      <c r="B28" s="102" t="s">
        <v>38</v>
      </c>
      <c r="C28" s="110">
        <v>1289</v>
      </c>
      <c r="D28" s="110">
        <v>1142</v>
      </c>
      <c r="E28" s="110">
        <v>768</v>
      </c>
      <c r="F28" s="110">
        <v>795</v>
      </c>
      <c r="G28" s="110">
        <v>724</v>
      </c>
      <c r="H28" s="110">
        <v>785</v>
      </c>
      <c r="I28" s="261">
        <v>746</v>
      </c>
      <c r="J28" s="118">
        <f>C28/C$31</f>
        <v>0.47372289599411982</v>
      </c>
      <c r="K28" s="118">
        <f t="shared" ref="K28:P31" si="8">D28/D$31</f>
        <v>0.47131654973173753</v>
      </c>
      <c r="L28" s="116">
        <f t="shared" si="8"/>
        <v>0.49230769230769234</v>
      </c>
      <c r="M28" s="116">
        <f t="shared" si="8"/>
        <v>0.56543385490753917</v>
      </c>
      <c r="N28" s="116">
        <f t="shared" si="8"/>
        <v>0.57097791798107256</v>
      </c>
      <c r="O28" s="116">
        <f t="shared" si="8"/>
        <v>0.55010511562718989</v>
      </c>
      <c r="P28" s="116">
        <f t="shared" si="8"/>
        <v>0.55096011816838997</v>
      </c>
    </row>
    <row r="29" spans="1:16" x14ac:dyDescent="0.2">
      <c r="A29" s="103" t="s">
        <v>155</v>
      </c>
      <c r="B29" s="103" t="s">
        <v>39</v>
      </c>
      <c r="C29" s="109">
        <v>1086</v>
      </c>
      <c r="D29" s="109">
        <v>906</v>
      </c>
      <c r="E29" s="109">
        <v>527</v>
      </c>
      <c r="F29" s="109">
        <v>369</v>
      </c>
      <c r="G29" s="109">
        <v>369</v>
      </c>
      <c r="H29" s="109">
        <v>420</v>
      </c>
      <c r="I29" s="259">
        <v>355</v>
      </c>
      <c r="J29" s="213">
        <f t="shared" ref="J29:J31" si="9">C29/C$31</f>
        <v>0.39911797133406834</v>
      </c>
      <c r="K29" s="213">
        <f t="shared" si="8"/>
        <v>0.37391663227404043</v>
      </c>
      <c r="L29" s="30">
        <f t="shared" si="8"/>
        <v>0.33782051282051284</v>
      </c>
      <c r="M29" s="30">
        <f t="shared" si="8"/>
        <v>0.2624466571834993</v>
      </c>
      <c r="N29" s="30">
        <f t="shared" si="8"/>
        <v>0.2910094637223975</v>
      </c>
      <c r="O29" s="30">
        <f t="shared" si="8"/>
        <v>0.29432375613174494</v>
      </c>
      <c r="P29" s="30">
        <f t="shared" si="8"/>
        <v>0.26218611521418023</v>
      </c>
    </row>
    <row r="30" spans="1:16" x14ac:dyDescent="0.2">
      <c r="A30" s="103" t="s">
        <v>155</v>
      </c>
      <c r="B30" s="103" t="s">
        <v>272</v>
      </c>
      <c r="C30" s="109">
        <v>346</v>
      </c>
      <c r="D30" s="109">
        <v>375</v>
      </c>
      <c r="E30" s="109">
        <v>265</v>
      </c>
      <c r="F30" s="109">
        <v>242</v>
      </c>
      <c r="G30" s="109">
        <v>175</v>
      </c>
      <c r="H30" s="109">
        <v>222</v>
      </c>
      <c r="I30" s="259">
        <v>253</v>
      </c>
      <c r="J30" s="213">
        <f t="shared" si="9"/>
        <v>0.12715913267181184</v>
      </c>
      <c r="K30" s="213">
        <f t="shared" si="8"/>
        <v>0.15476681799422204</v>
      </c>
      <c r="L30" s="30">
        <f t="shared" si="8"/>
        <v>0.16987179487179488</v>
      </c>
      <c r="M30" s="30">
        <f t="shared" si="8"/>
        <v>0.17211948790896159</v>
      </c>
      <c r="N30" s="30">
        <f t="shared" si="8"/>
        <v>0.13801261829652997</v>
      </c>
      <c r="O30" s="30">
        <f t="shared" si="8"/>
        <v>0.15557112824106517</v>
      </c>
      <c r="P30" s="30">
        <f t="shared" si="8"/>
        <v>0.18685376661742983</v>
      </c>
    </row>
    <row r="31" spans="1:16" x14ac:dyDescent="0.2">
      <c r="A31" s="119" t="s">
        <v>155</v>
      </c>
      <c r="B31" s="119" t="s">
        <v>36</v>
      </c>
      <c r="C31" s="113">
        <v>2721</v>
      </c>
      <c r="D31" s="113">
        <v>2423</v>
      </c>
      <c r="E31" s="113">
        <v>1560</v>
      </c>
      <c r="F31" s="113">
        <v>1406</v>
      </c>
      <c r="G31" s="113">
        <v>1268</v>
      </c>
      <c r="H31" s="113">
        <v>1427</v>
      </c>
      <c r="I31" s="262">
        <v>1354</v>
      </c>
      <c r="J31" s="120">
        <f t="shared" si="9"/>
        <v>1</v>
      </c>
      <c r="K31" s="120">
        <f t="shared" si="8"/>
        <v>1</v>
      </c>
      <c r="L31" s="108">
        <f t="shared" si="8"/>
        <v>1</v>
      </c>
      <c r="M31" s="108">
        <f t="shared" si="8"/>
        <v>1</v>
      </c>
      <c r="N31" s="108">
        <f t="shared" si="8"/>
        <v>1</v>
      </c>
      <c r="O31" s="108">
        <f t="shared" si="8"/>
        <v>1</v>
      </c>
      <c r="P31" s="108">
        <f t="shared" si="8"/>
        <v>1</v>
      </c>
    </row>
    <row r="32" spans="1:16" x14ac:dyDescent="0.2">
      <c r="A32" s="121" t="s">
        <v>144</v>
      </c>
      <c r="B32" s="121" t="s">
        <v>157</v>
      </c>
      <c r="C32" s="153">
        <v>2721</v>
      </c>
      <c r="D32" s="153">
        <v>2423</v>
      </c>
      <c r="E32" s="153">
        <v>1560</v>
      </c>
      <c r="F32" s="107">
        <v>1406</v>
      </c>
      <c r="G32" s="107">
        <v>1268</v>
      </c>
      <c r="H32" s="107">
        <v>1427</v>
      </c>
      <c r="I32" s="260">
        <v>1354</v>
      </c>
      <c r="J32" s="151" t="s">
        <v>37</v>
      </c>
      <c r="K32" s="151" t="s">
        <v>37</v>
      </c>
      <c r="L32" s="115" t="s">
        <v>37</v>
      </c>
      <c r="M32" s="115" t="s">
        <v>37</v>
      </c>
      <c r="N32" s="115" t="s">
        <v>37</v>
      </c>
      <c r="O32" s="115" t="s">
        <v>37</v>
      </c>
      <c r="P32" s="115" t="s">
        <v>37</v>
      </c>
    </row>
    <row r="33" spans="1:16" x14ac:dyDescent="0.2">
      <c r="A33" s="112" t="s">
        <v>144</v>
      </c>
      <c r="B33" s="112" t="s">
        <v>190</v>
      </c>
      <c r="C33" s="107">
        <v>2059</v>
      </c>
      <c r="D33" s="107">
        <v>1814</v>
      </c>
      <c r="E33" s="107">
        <v>1229</v>
      </c>
      <c r="F33" s="107">
        <v>1096</v>
      </c>
      <c r="G33" s="107">
        <v>969</v>
      </c>
      <c r="H33" s="107">
        <v>1055</v>
      </c>
      <c r="I33" s="260">
        <v>1031</v>
      </c>
      <c r="J33" s="115" t="s">
        <v>37</v>
      </c>
      <c r="K33" s="151" t="s">
        <v>37</v>
      </c>
      <c r="L33" s="115" t="s">
        <v>37</v>
      </c>
      <c r="M33" s="115" t="s">
        <v>37</v>
      </c>
      <c r="N33" s="115" t="s">
        <v>37</v>
      </c>
      <c r="O33" s="115" t="s">
        <v>37</v>
      </c>
      <c r="P33" s="115" t="s">
        <v>37</v>
      </c>
    </row>
    <row r="36" spans="1:16" x14ac:dyDescent="0.2">
      <c r="H36" s="228"/>
      <c r="I36" s="228"/>
    </row>
  </sheetData>
  <phoneticPr fontId="19" type="noConversion"/>
  <pageMargins left="0.7" right="0.7" top="0.75" bottom="0.75" header="0.3" footer="0.3"/>
  <tableParts count="1">
    <tablePart r:id="rId1"/>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AFB1DB-E9A1-4D04-985C-43257ECC007D}">
  <sheetPr codeName="Sheet15"/>
  <dimension ref="A1:P12"/>
  <sheetViews>
    <sheetView workbookViewId="0"/>
  </sheetViews>
  <sheetFormatPr defaultColWidth="8.6640625" defaultRowHeight="15" x14ac:dyDescent="0.2"/>
  <cols>
    <col min="1" max="1" width="15.88671875" bestFit="1" customWidth="1"/>
    <col min="2" max="2" width="21.6640625" bestFit="1" customWidth="1"/>
    <col min="7" max="9" width="9.33203125" customWidth="1"/>
    <col min="11" max="11" width="9.33203125" customWidth="1"/>
    <col min="14" max="15" width="9.33203125" customWidth="1"/>
  </cols>
  <sheetData>
    <row r="1" spans="1:16" ht="15.75" x14ac:dyDescent="0.2">
      <c r="A1" s="38" t="s">
        <v>296</v>
      </c>
      <c r="B1" s="38"/>
      <c r="C1" s="34"/>
      <c r="D1" s="32"/>
      <c r="E1" s="32"/>
      <c r="F1" s="32"/>
      <c r="G1" s="32"/>
      <c r="H1" s="32"/>
      <c r="I1" s="32"/>
      <c r="J1" s="32"/>
      <c r="K1" s="28"/>
      <c r="L1" s="28"/>
      <c r="M1" s="28"/>
      <c r="N1" s="28"/>
      <c r="O1" s="26"/>
    </row>
    <row r="2" spans="1:16" ht="15.75" x14ac:dyDescent="0.2">
      <c r="A2" s="39" t="s">
        <v>121</v>
      </c>
      <c r="B2" s="38"/>
      <c r="C2" s="34"/>
      <c r="D2" s="32"/>
      <c r="E2" s="32"/>
      <c r="F2" s="32"/>
      <c r="G2" s="32"/>
      <c r="H2" s="32"/>
      <c r="I2" s="32"/>
      <c r="J2" s="32"/>
      <c r="K2" s="28"/>
      <c r="L2" s="28"/>
      <c r="M2" s="28"/>
      <c r="N2" s="28"/>
      <c r="O2" s="26"/>
    </row>
    <row r="3" spans="1:16" x14ac:dyDescent="0.2">
      <c r="A3" s="99" t="s">
        <v>277</v>
      </c>
      <c r="B3" s="99"/>
      <c r="C3" s="32"/>
      <c r="D3" s="32"/>
      <c r="E3" s="32"/>
      <c r="F3" s="32"/>
      <c r="G3" s="32"/>
      <c r="H3" s="32"/>
      <c r="I3" s="32"/>
      <c r="J3" s="32"/>
      <c r="K3" s="28"/>
      <c r="L3" s="28"/>
      <c r="M3" s="28"/>
      <c r="N3" s="28"/>
      <c r="O3" s="26"/>
    </row>
    <row r="4" spans="1:16" ht="25.5" x14ac:dyDescent="0.2">
      <c r="A4" s="124" t="s">
        <v>334</v>
      </c>
      <c r="B4" s="125" t="s">
        <v>155</v>
      </c>
      <c r="C4" s="101" t="s">
        <v>132</v>
      </c>
      <c r="D4" s="101" t="s">
        <v>133</v>
      </c>
      <c r="E4" s="101" t="s">
        <v>134</v>
      </c>
      <c r="F4" s="101" t="s">
        <v>135</v>
      </c>
      <c r="G4" s="101" t="s">
        <v>172</v>
      </c>
      <c r="H4" s="101" t="s">
        <v>192</v>
      </c>
      <c r="I4" s="264" t="s">
        <v>244</v>
      </c>
      <c r="J4" s="101" t="s">
        <v>136</v>
      </c>
      <c r="K4" s="101" t="s">
        <v>140</v>
      </c>
      <c r="L4" s="101" t="s">
        <v>138</v>
      </c>
      <c r="M4" s="101" t="s">
        <v>139</v>
      </c>
      <c r="N4" s="101" t="s">
        <v>171</v>
      </c>
      <c r="O4" s="101" t="s">
        <v>193</v>
      </c>
      <c r="P4" s="101" t="s">
        <v>245</v>
      </c>
    </row>
    <row r="5" spans="1:16" x14ac:dyDescent="0.2">
      <c r="A5" s="102" t="s">
        <v>77</v>
      </c>
      <c r="B5" s="103" t="s">
        <v>38</v>
      </c>
      <c r="C5" s="109">
        <v>637</v>
      </c>
      <c r="D5" s="109">
        <v>591</v>
      </c>
      <c r="E5" s="109">
        <v>417</v>
      </c>
      <c r="F5" s="109">
        <v>423</v>
      </c>
      <c r="G5" s="109">
        <v>346</v>
      </c>
      <c r="H5" s="109">
        <v>406</v>
      </c>
      <c r="I5" s="259">
        <v>389</v>
      </c>
      <c r="J5" s="30">
        <f>C5/C$8</f>
        <v>0.52471169686985175</v>
      </c>
      <c r="K5" s="30">
        <f t="shared" ref="K5:P8" si="0">D5/D$8</f>
        <v>0.50469684030742956</v>
      </c>
      <c r="L5" s="30">
        <f t="shared" si="0"/>
        <v>0.53598971722365041</v>
      </c>
      <c r="M5" s="30">
        <f t="shared" si="0"/>
        <v>0.6</v>
      </c>
      <c r="N5" s="30">
        <f t="shared" si="0"/>
        <v>0.61022927689594353</v>
      </c>
      <c r="O5" s="30">
        <f t="shared" si="0"/>
        <v>0.58840579710144925</v>
      </c>
      <c r="P5" s="30">
        <f t="shared" si="0"/>
        <v>0.60403726708074534</v>
      </c>
    </row>
    <row r="6" spans="1:16" x14ac:dyDescent="0.2">
      <c r="A6" s="103" t="s">
        <v>77</v>
      </c>
      <c r="B6" s="103" t="s">
        <v>39</v>
      </c>
      <c r="C6" s="109">
        <v>408</v>
      </c>
      <c r="D6" s="109">
        <v>377</v>
      </c>
      <c r="E6" s="109">
        <v>226</v>
      </c>
      <c r="F6" s="109">
        <v>151</v>
      </c>
      <c r="G6" s="109">
        <v>146</v>
      </c>
      <c r="H6" s="109">
        <v>170</v>
      </c>
      <c r="I6" s="259">
        <v>125</v>
      </c>
      <c r="J6" s="30">
        <f t="shared" ref="J6:J8" si="1">C6/C$8</f>
        <v>0.33607907742998355</v>
      </c>
      <c r="K6" s="30">
        <f t="shared" si="0"/>
        <v>0.3219470538001708</v>
      </c>
      <c r="L6" s="30">
        <f t="shared" si="0"/>
        <v>0.29048843187660667</v>
      </c>
      <c r="M6" s="30">
        <f t="shared" si="0"/>
        <v>0.21418439716312057</v>
      </c>
      <c r="N6" s="30">
        <f t="shared" si="0"/>
        <v>0.25749559082892415</v>
      </c>
      <c r="O6" s="30">
        <f t="shared" si="0"/>
        <v>0.24637681159420291</v>
      </c>
      <c r="P6" s="30">
        <f t="shared" si="0"/>
        <v>0.19409937888198758</v>
      </c>
    </row>
    <row r="7" spans="1:16" x14ac:dyDescent="0.2">
      <c r="A7" s="103" t="s">
        <v>77</v>
      </c>
      <c r="B7" s="103" t="s">
        <v>272</v>
      </c>
      <c r="C7" s="109">
        <v>169</v>
      </c>
      <c r="D7" s="109">
        <v>203</v>
      </c>
      <c r="E7" s="109">
        <v>135</v>
      </c>
      <c r="F7" s="109">
        <v>131</v>
      </c>
      <c r="G7" s="109">
        <v>75</v>
      </c>
      <c r="H7" s="109">
        <v>114</v>
      </c>
      <c r="I7" s="259">
        <v>130</v>
      </c>
      <c r="J7" s="30">
        <f t="shared" si="1"/>
        <v>0.13920922570016475</v>
      </c>
      <c r="K7" s="30">
        <f t="shared" si="0"/>
        <v>0.17335610589239966</v>
      </c>
      <c r="L7" s="30">
        <f t="shared" si="0"/>
        <v>0.17352185089974292</v>
      </c>
      <c r="M7" s="30">
        <f t="shared" si="0"/>
        <v>0.18581560283687942</v>
      </c>
      <c r="N7" s="30">
        <f t="shared" si="0"/>
        <v>0.13227513227513227</v>
      </c>
      <c r="O7" s="30">
        <f t="shared" si="0"/>
        <v>0.16521739130434782</v>
      </c>
      <c r="P7" s="30">
        <f t="shared" si="0"/>
        <v>0.20186335403726707</v>
      </c>
    </row>
    <row r="8" spans="1:16" x14ac:dyDescent="0.2">
      <c r="A8" s="103" t="s">
        <v>77</v>
      </c>
      <c r="B8" s="126" t="s">
        <v>85</v>
      </c>
      <c r="C8" s="106">
        <v>1214</v>
      </c>
      <c r="D8" s="106">
        <v>1171</v>
      </c>
      <c r="E8" s="106">
        <v>778</v>
      </c>
      <c r="F8" s="106">
        <v>705</v>
      </c>
      <c r="G8" s="106">
        <v>567</v>
      </c>
      <c r="H8" s="106">
        <v>690</v>
      </c>
      <c r="I8" s="265">
        <v>644</v>
      </c>
      <c r="J8" s="108">
        <f t="shared" si="1"/>
        <v>1</v>
      </c>
      <c r="K8" s="108">
        <f t="shared" si="0"/>
        <v>1</v>
      </c>
      <c r="L8" s="108">
        <f t="shared" si="0"/>
        <v>1</v>
      </c>
      <c r="M8" s="108">
        <f t="shared" si="0"/>
        <v>1</v>
      </c>
      <c r="N8" s="108">
        <f t="shared" si="0"/>
        <v>1</v>
      </c>
      <c r="O8" s="108">
        <f t="shared" si="0"/>
        <v>1</v>
      </c>
      <c r="P8" s="108">
        <f t="shared" si="0"/>
        <v>1</v>
      </c>
    </row>
    <row r="9" spans="1:16" x14ac:dyDescent="0.2">
      <c r="A9" s="102" t="s">
        <v>65</v>
      </c>
      <c r="B9" s="103" t="s">
        <v>38</v>
      </c>
      <c r="C9" s="127">
        <v>637</v>
      </c>
      <c r="D9" s="127">
        <v>537</v>
      </c>
      <c r="E9" s="127">
        <v>339</v>
      </c>
      <c r="F9" s="127">
        <v>361</v>
      </c>
      <c r="G9" s="127">
        <v>365</v>
      </c>
      <c r="H9" s="127">
        <v>356</v>
      </c>
      <c r="I9" s="266">
        <v>338</v>
      </c>
      <c r="J9" s="104">
        <f>C9/C$12</f>
        <v>0.42982456140350878</v>
      </c>
      <c r="K9" s="104">
        <f t="shared" ref="K9:P12" si="2">D9/D$12</f>
        <v>0.4344660194174757</v>
      </c>
      <c r="L9" s="104">
        <f t="shared" si="2"/>
        <v>0.44313725490196076</v>
      </c>
      <c r="M9" s="104">
        <f t="shared" si="2"/>
        <v>0.52547307132459975</v>
      </c>
      <c r="N9" s="104">
        <f t="shared" si="2"/>
        <v>0.53206997084548102</v>
      </c>
      <c r="O9" s="104">
        <f t="shared" si="2"/>
        <v>0.5007032348804501</v>
      </c>
      <c r="P9" s="104">
        <f t="shared" si="2"/>
        <v>0.49271137026239065</v>
      </c>
    </row>
    <row r="10" spans="1:16" x14ac:dyDescent="0.2">
      <c r="A10" s="103" t="s">
        <v>65</v>
      </c>
      <c r="B10" s="103" t="s">
        <v>39</v>
      </c>
      <c r="C10" s="109">
        <v>671</v>
      </c>
      <c r="D10" s="109">
        <v>528</v>
      </c>
      <c r="E10" s="109">
        <v>296</v>
      </c>
      <c r="F10" s="109">
        <v>216</v>
      </c>
      <c r="G10" s="109">
        <v>223</v>
      </c>
      <c r="H10" s="109">
        <v>248</v>
      </c>
      <c r="I10" s="259">
        <v>227</v>
      </c>
      <c r="J10" s="30">
        <f t="shared" ref="J10:J12" si="3">C10/C$12</f>
        <v>0.45276653171390013</v>
      </c>
      <c r="K10" s="30">
        <f t="shared" si="2"/>
        <v>0.42718446601941745</v>
      </c>
      <c r="L10" s="30">
        <f t="shared" si="2"/>
        <v>0.38692810457516341</v>
      </c>
      <c r="M10" s="30">
        <f t="shared" si="2"/>
        <v>0.31441048034934499</v>
      </c>
      <c r="N10" s="30">
        <f t="shared" si="2"/>
        <v>0.32507288629737607</v>
      </c>
      <c r="O10" s="30">
        <f t="shared" si="2"/>
        <v>0.34880450070323488</v>
      </c>
      <c r="P10" s="30">
        <f t="shared" si="2"/>
        <v>0.33090379008746357</v>
      </c>
    </row>
    <row r="11" spans="1:16" x14ac:dyDescent="0.2">
      <c r="A11" s="103" t="s">
        <v>65</v>
      </c>
      <c r="B11" s="103" t="s">
        <v>272</v>
      </c>
      <c r="C11" s="109">
        <v>174</v>
      </c>
      <c r="D11" s="109">
        <v>171</v>
      </c>
      <c r="E11" s="109">
        <v>130</v>
      </c>
      <c r="F11" s="109">
        <v>110</v>
      </c>
      <c r="G11" s="109">
        <v>98</v>
      </c>
      <c r="H11" s="109">
        <v>107</v>
      </c>
      <c r="I11" s="259">
        <v>121</v>
      </c>
      <c r="J11" s="30">
        <f t="shared" si="3"/>
        <v>0.11740890688259109</v>
      </c>
      <c r="K11" s="30">
        <f t="shared" si="2"/>
        <v>0.13834951456310679</v>
      </c>
      <c r="L11" s="30">
        <f t="shared" si="2"/>
        <v>0.16993464052287582</v>
      </c>
      <c r="M11" s="30">
        <f t="shared" si="2"/>
        <v>0.16011644832605532</v>
      </c>
      <c r="N11" s="30">
        <f t="shared" si="2"/>
        <v>0.14285714285714285</v>
      </c>
      <c r="O11" s="30">
        <f t="shared" si="2"/>
        <v>0.15049226441631505</v>
      </c>
      <c r="P11" s="30">
        <f t="shared" si="2"/>
        <v>0.17638483965014579</v>
      </c>
    </row>
    <row r="12" spans="1:16" x14ac:dyDescent="0.2">
      <c r="A12" s="105" t="s">
        <v>65</v>
      </c>
      <c r="B12" s="105" t="s">
        <v>86</v>
      </c>
      <c r="C12" s="107">
        <v>1482</v>
      </c>
      <c r="D12" s="107">
        <v>1236</v>
      </c>
      <c r="E12" s="107">
        <v>765</v>
      </c>
      <c r="F12" s="107">
        <v>687</v>
      </c>
      <c r="G12" s="107">
        <v>686</v>
      </c>
      <c r="H12" s="107">
        <v>711</v>
      </c>
      <c r="I12" s="260">
        <v>686</v>
      </c>
      <c r="J12" s="115">
        <f t="shared" si="3"/>
        <v>1</v>
      </c>
      <c r="K12" s="115">
        <f t="shared" si="2"/>
        <v>1</v>
      </c>
      <c r="L12" s="115">
        <f t="shared" si="2"/>
        <v>1</v>
      </c>
      <c r="M12" s="115">
        <f t="shared" si="2"/>
        <v>1</v>
      </c>
      <c r="N12" s="115">
        <f t="shared" si="2"/>
        <v>1</v>
      </c>
      <c r="O12" s="115">
        <f t="shared" si="2"/>
        <v>1</v>
      </c>
      <c r="P12" s="115">
        <f t="shared" si="2"/>
        <v>1</v>
      </c>
    </row>
  </sheetData>
  <phoneticPr fontId="19" type="noConversion"/>
  <pageMargins left="0.7" right="0.7" top="0.75" bottom="0.75" header="0.3" footer="0.3"/>
  <ignoredErrors>
    <ignoredError sqref="J5:O12" calculatedColumn="1"/>
  </ignoredErrors>
  <tableParts count="1">
    <tablePart r:id="rId1"/>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DAF9CC-1EEE-4A34-8AE6-0A41C389AE84}">
  <sheetPr codeName="Sheet16"/>
  <dimension ref="A1:R34"/>
  <sheetViews>
    <sheetView workbookViewId="0"/>
  </sheetViews>
  <sheetFormatPr defaultColWidth="8.6640625" defaultRowHeight="15" x14ac:dyDescent="0.2"/>
  <cols>
    <col min="1" max="1" width="19.33203125" bestFit="1" customWidth="1"/>
    <col min="6" max="7" width="9.33203125" customWidth="1"/>
    <col min="9" max="9" width="9.33203125" customWidth="1"/>
    <col min="12" max="13" width="9.33203125" customWidth="1"/>
    <col min="15" max="15" width="11" bestFit="1" customWidth="1"/>
  </cols>
  <sheetData>
    <row r="1" spans="1:18" ht="15.75" x14ac:dyDescent="0.2">
      <c r="A1" s="38" t="s">
        <v>257</v>
      </c>
      <c r="B1" s="32"/>
      <c r="C1" s="32"/>
      <c r="D1" s="32"/>
      <c r="E1" s="32"/>
      <c r="F1" s="32"/>
      <c r="G1" s="32"/>
      <c r="H1" s="27"/>
      <c r="I1" s="32"/>
      <c r="J1" s="32"/>
      <c r="K1" s="32"/>
      <c r="L1" s="32"/>
      <c r="M1" s="32"/>
    </row>
    <row r="2" spans="1:18" x14ac:dyDescent="0.2">
      <c r="A2" s="100" t="s">
        <v>340</v>
      </c>
      <c r="B2" s="32"/>
      <c r="C2" s="32"/>
      <c r="D2" s="32"/>
      <c r="E2" s="32"/>
      <c r="F2" s="32"/>
      <c r="G2" s="32"/>
      <c r="H2" s="27"/>
      <c r="I2" s="32"/>
      <c r="J2" s="32"/>
      <c r="K2" s="32"/>
      <c r="L2" s="32"/>
      <c r="M2" s="32"/>
    </row>
    <row r="3" spans="1:18" x14ac:dyDescent="0.2">
      <c r="A3" s="100" t="s">
        <v>338</v>
      </c>
      <c r="B3" s="32"/>
      <c r="C3" s="32"/>
      <c r="D3" s="32"/>
      <c r="E3" s="32"/>
      <c r="F3" s="32"/>
      <c r="G3" s="32"/>
      <c r="H3" s="27"/>
      <c r="I3" s="32"/>
      <c r="J3" s="32"/>
      <c r="K3" s="32"/>
      <c r="L3" s="32"/>
      <c r="M3" s="32"/>
    </row>
    <row r="4" spans="1:18" x14ac:dyDescent="0.2">
      <c r="A4" s="99" t="s">
        <v>147</v>
      </c>
      <c r="B4" s="32"/>
      <c r="C4" s="32"/>
      <c r="D4" s="32"/>
      <c r="E4" s="32"/>
      <c r="F4" s="32"/>
      <c r="G4" s="32"/>
      <c r="H4" s="27"/>
      <c r="I4" s="32"/>
      <c r="J4" s="32"/>
      <c r="K4" s="32"/>
      <c r="L4" s="32"/>
      <c r="M4" s="32"/>
    </row>
    <row r="5" spans="1:18" ht="15.75" x14ac:dyDescent="0.2">
      <c r="A5" s="38" t="s">
        <v>246</v>
      </c>
      <c r="B5" s="34"/>
      <c r="C5" s="34"/>
      <c r="D5" s="34"/>
      <c r="E5" s="34"/>
      <c r="F5" s="34"/>
      <c r="G5" s="34"/>
      <c r="H5" s="27"/>
      <c r="I5" s="128"/>
      <c r="J5" s="128"/>
      <c r="K5" s="128"/>
      <c r="L5" s="128"/>
      <c r="M5" s="128"/>
    </row>
    <row r="6" spans="1:18" ht="25.5" x14ac:dyDescent="0.2">
      <c r="A6" s="129" t="s">
        <v>141</v>
      </c>
      <c r="B6" s="101" t="s">
        <v>132</v>
      </c>
      <c r="C6" s="101" t="s">
        <v>133</v>
      </c>
      <c r="D6" s="101" t="s">
        <v>134</v>
      </c>
      <c r="E6" s="101" t="s">
        <v>135</v>
      </c>
      <c r="F6" s="101" t="s">
        <v>172</v>
      </c>
      <c r="G6" s="101" t="s">
        <v>192</v>
      </c>
      <c r="H6" s="264" t="s">
        <v>244</v>
      </c>
      <c r="I6" s="101" t="s">
        <v>136</v>
      </c>
      <c r="J6" s="101" t="s">
        <v>140</v>
      </c>
      <c r="K6" s="101" t="s">
        <v>138</v>
      </c>
      <c r="L6" s="101" t="s">
        <v>139</v>
      </c>
      <c r="M6" s="101" t="s">
        <v>171</v>
      </c>
      <c r="N6" s="101" t="s">
        <v>193</v>
      </c>
      <c r="O6" s="101" t="s">
        <v>245</v>
      </c>
    </row>
    <row r="7" spans="1:18" x14ac:dyDescent="0.2">
      <c r="A7" s="111" t="s">
        <v>87</v>
      </c>
      <c r="B7" s="131">
        <v>1567</v>
      </c>
      <c r="C7" s="131">
        <v>1361</v>
      </c>
      <c r="D7" s="131">
        <v>780</v>
      </c>
      <c r="E7" s="130">
        <v>709</v>
      </c>
      <c r="F7" s="130">
        <v>728</v>
      </c>
      <c r="G7" s="130">
        <v>740</v>
      </c>
      <c r="H7" s="267">
        <v>700</v>
      </c>
      <c r="I7" s="30">
        <f>B7/B$16</f>
        <v>0.57589121646453512</v>
      </c>
      <c r="J7" s="30">
        <f>C7/C$16</f>
        <v>0.56170037144036322</v>
      </c>
      <c r="K7" s="30">
        <f t="shared" ref="J7:O16" si="0">D7/D$16</f>
        <v>0.5</v>
      </c>
      <c r="L7" s="30">
        <f t="shared" si="0"/>
        <v>0.50426742532005686</v>
      </c>
      <c r="M7" s="30">
        <f t="shared" si="0"/>
        <v>0.57413249211356465</v>
      </c>
      <c r="N7" s="30">
        <f t="shared" si="0"/>
        <v>0.5185704274702172</v>
      </c>
      <c r="O7" s="30">
        <f t="shared" si="0"/>
        <v>0.51698670605612995</v>
      </c>
    </row>
    <row r="8" spans="1:18" x14ac:dyDescent="0.2">
      <c r="A8" s="111" t="s">
        <v>88</v>
      </c>
      <c r="B8" s="131">
        <v>580</v>
      </c>
      <c r="C8" s="131">
        <v>488</v>
      </c>
      <c r="D8" s="131">
        <v>297</v>
      </c>
      <c r="E8" s="131">
        <v>269</v>
      </c>
      <c r="F8" s="131">
        <v>236</v>
      </c>
      <c r="G8" s="131">
        <v>278</v>
      </c>
      <c r="H8" s="268">
        <v>245</v>
      </c>
      <c r="I8" s="30">
        <f t="shared" ref="I8:I16" si="1">B8/B$16</f>
        <v>0.21315692760014701</v>
      </c>
      <c r="J8" s="30">
        <f t="shared" si="0"/>
        <v>0.20140321914981427</v>
      </c>
      <c r="K8" s="30">
        <f t="shared" si="0"/>
        <v>0.19038461538461537</v>
      </c>
      <c r="L8" s="30">
        <f t="shared" si="0"/>
        <v>0.19132290184921763</v>
      </c>
      <c r="M8" s="30">
        <f t="shared" si="0"/>
        <v>0.18611987381703471</v>
      </c>
      <c r="N8" s="30">
        <f t="shared" si="0"/>
        <v>0.19481429572529782</v>
      </c>
      <c r="O8" s="30">
        <f t="shared" si="0"/>
        <v>0.18094534711964549</v>
      </c>
    </row>
    <row r="9" spans="1:18" x14ac:dyDescent="0.2">
      <c r="A9" s="111" t="s">
        <v>89</v>
      </c>
      <c r="B9" s="131">
        <v>272</v>
      </c>
      <c r="C9" s="131">
        <v>266</v>
      </c>
      <c r="D9" s="131">
        <v>182</v>
      </c>
      <c r="E9" s="131">
        <v>202</v>
      </c>
      <c r="F9" s="131">
        <v>126</v>
      </c>
      <c r="G9" s="131">
        <v>159</v>
      </c>
      <c r="H9" s="268">
        <v>176</v>
      </c>
      <c r="I9" s="30">
        <f t="shared" si="1"/>
        <v>9.9963248805586186E-2</v>
      </c>
      <c r="J9" s="30">
        <f t="shared" si="0"/>
        <v>0.10978126289723483</v>
      </c>
      <c r="K9" s="30">
        <f t="shared" si="0"/>
        <v>0.11666666666666667</v>
      </c>
      <c r="L9" s="30">
        <f t="shared" si="0"/>
        <v>0.14366998577524892</v>
      </c>
      <c r="M9" s="30">
        <f t="shared" si="0"/>
        <v>9.9369085173501584E-2</v>
      </c>
      <c r="N9" s="30">
        <f t="shared" si="0"/>
        <v>0.11142256482130343</v>
      </c>
      <c r="O9" s="30">
        <f t="shared" si="0"/>
        <v>0.12998522895125553</v>
      </c>
    </row>
    <row r="10" spans="1:18" x14ac:dyDescent="0.2">
      <c r="A10" s="111" t="s">
        <v>90</v>
      </c>
      <c r="B10" s="131">
        <v>160</v>
      </c>
      <c r="C10" s="131">
        <v>160</v>
      </c>
      <c r="D10" s="131">
        <v>140</v>
      </c>
      <c r="E10" s="131">
        <v>108</v>
      </c>
      <c r="F10" s="131">
        <v>87</v>
      </c>
      <c r="G10" s="131">
        <v>110</v>
      </c>
      <c r="H10" s="268">
        <v>127</v>
      </c>
      <c r="I10" s="30">
        <f t="shared" si="1"/>
        <v>5.8801911062109517E-2</v>
      </c>
      <c r="J10" s="30">
        <f t="shared" si="0"/>
        <v>6.6033842344201399E-2</v>
      </c>
      <c r="K10" s="30">
        <f t="shared" si="0"/>
        <v>8.9743589743589744E-2</v>
      </c>
      <c r="L10" s="30">
        <f t="shared" si="0"/>
        <v>7.6813655761024183E-2</v>
      </c>
      <c r="M10" s="30">
        <f t="shared" si="0"/>
        <v>6.8611987381703474E-2</v>
      </c>
      <c r="N10" s="30">
        <f t="shared" si="0"/>
        <v>7.7084793272599858E-2</v>
      </c>
      <c r="O10" s="30">
        <f t="shared" si="0"/>
        <v>9.3796159527326436E-2</v>
      </c>
    </row>
    <row r="11" spans="1:18" x14ac:dyDescent="0.2">
      <c r="A11" s="111" t="s">
        <v>91</v>
      </c>
      <c r="B11" s="131">
        <v>40</v>
      </c>
      <c r="C11" s="131">
        <v>54</v>
      </c>
      <c r="D11" s="131">
        <v>62</v>
      </c>
      <c r="E11" s="131">
        <v>48</v>
      </c>
      <c r="F11" s="131">
        <v>36</v>
      </c>
      <c r="G11" s="131">
        <v>56</v>
      </c>
      <c r="H11" s="268">
        <v>34</v>
      </c>
      <c r="I11" s="30">
        <f t="shared" si="1"/>
        <v>1.4700477765527379E-2</v>
      </c>
      <c r="J11" s="30">
        <f t="shared" si="0"/>
        <v>2.2286421791167972E-2</v>
      </c>
      <c r="K11" s="30">
        <f t="shared" si="0"/>
        <v>3.9743589743589741E-2</v>
      </c>
      <c r="L11" s="30">
        <f t="shared" si="0"/>
        <v>3.4139402560455195E-2</v>
      </c>
      <c r="M11" s="30">
        <f t="shared" si="0"/>
        <v>2.8391167192429023E-2</v>
      </c>
      <c r="N11" s="30">
        <f t="shared" si="0"/>
        <v>3.9243167484232656E-2</v>
      </c>
      <c r="O11" s="30">
        <f t="shared" si="0"/>
        <v>2.5110782865583457E-2</v>
      </c>
      <c r="P11" s="229"/>
      <c r="Q11" s="229"/>
      <c r="R11" s="228"/>
    </row>
    <row r="12" spans="1:18" x14ac:dyDescent="0.2">
      <c r="A12" s="111" t="s">
        <v>92</v>
      </c>
      <c r="B12" s="131">
        <v>43</v>
      </c>
      <c r="C12" s="131">
        <v>34</v>
      </c>
      <c r="D12" s="131">
        <v>20</v>
      </c>
      <c r="E12" s="131">
        <v>21</v>
      </c>
      <c r="F12" s="131">
        <v>30</v>
      </c>
      <c r="G12" s="131">
        <v>18</v>
      </c>
      <c r="H12" s="268">
        <v>26</v>
      </c>
      <c r="I12" s="30">
        <f t="shared" si="1"/>
        <v>1.5803013597941933E-2</v>
      </c>
      <c r="J12" s="30">
        <f t="shared" si="0"/>
        <v>1.4032191498142799E-2</v>
      </c>
      <c r="K12" s="30">
        <f t="shared" si="0"/>
        <v>1.282051282051282E-2</v>
      </c>
      <c r="L12" s="30">
        <f t="shared" si="0"/>
        <v>1.4935988620199146E-2</v>
      </c>
      <c r="M12" s="30">
        <f t="shared" si="0"/>
        <v>2.365930599369085E-2</v>
      </c>
      <c r="N12" s="30">
        <f t="shared" si="0"/>
        <v>1.2613875262789068E-2</v>
      </c>
      <c r="O12" s="30">
        <f t="shared" si="0"/>
        <v>1.9202363367799114E-2</v>
      </c>
    </row>
    <row r="13" spans="1:18" x14ac:dyDescent="0.2">
      <c r="A13" s="111" t="s">
        <v>93</v>
      </c>
      <c r="B13" s="131">
        <v>19</v>
      </c>
      <c r="C13" s="131">
        <v>24</v>
      </c>
      <c r="D13" s="131">
        <v>16</v>
      </c>
      <c r="E13" s="131">
        <v>11</v>
      </c>
      <c r="F13" s="131">
        <v>12</v>
      </c>
      <c r="G13" s="131">
        <v>14</v>
      </c>
      <c r="H13" s="268">
        <v>16</v>
      </c>
      <c r="I13" s="30">
        <f t="shared" si="1"/>
        <v>6.9827269386255053E-3</v>
      </c>
      <c r="J13" s="30">
        <f t="shared" si="0"/>
        <v>9.9050763516302098E-3</v>
      </c>
      <c r="K13" s="30">
        <f t="shared" si="0"/>
        <v>1.0256410256410256E-2</v>
      </c>
      <c r="L13" s="30">
        <f t="shared" si="0"/>
        <v>7.8236130867709811E-3</v>
      </c>
      <c r="M13" s="30">
        <f t="shared" si="0"/>
        <v>9.4637223974763408E-3</v>
      </c>
      <c r="N13" s="30">
        <f t="shared" si="0"/>
        <v>9.8107918710581641E-3</v>
      </c>
      <c r="O13" s="30">
        <f t="shared" si="0"/>
        <v>1.1816838995568686E-2</v>
      </c>
    </row>
    <row r="14" spans="1:18" x14ac:dyDescent="0.2">
      <c r="A14" s="111" t="s">
        <v>94</v>
      </c>
      <c r="B14" s="131">
        <v>11</v>
      </c>
      <c r="C14" s="131">
        <v>13</v>
      </c>
      <c r="D14" s="131">
        <v>11</v>
      </c>
      <c r="E14" s="131">
        <v>16</v>
      </c>
      <c r="F14" s="131" t="s">
        <v>37</v>
      </c>
      <c r="G14" s="131">
        <v>10</v>
      </c>
      <c r="H14" s="268">
        <v>7</v>
      </c>
      <c r="I14" s="30">
        <f t="shared" si="1"/>
        <v>4.0426313855200296E-3</v>
      </c>
      <c r="J14" s="30">
        <f t="shared" si="0"/>
        <v>5.3652496904663637E-3</v>
      </c>
      <c r="K14" s="30">
        <f t="shared" si="0"/>
        <v>7.0512820512820514E-3</v>
      </c>
      <c r="L14" s="30">
        <f t="shared" si="0"/>
        <v>1.1379800853485065E-2</v>
      </c>
      <c r="M14" s="30" t="s">
        <v>37</v>
      </c>
      <c r="N14" s="30">
        <f t="shared" si="0"/>
        <v>7.0077084793272598E-3</v>
      </c>
      <c r="O14" s="30">
        <f t="shared" si="0"/>
        <v>5.1698670605612998E-3</v>
      </c>
    </row>
    <row r="15" spans="1:18" x14ac:dyDescent="0.2">
      <c r="A15" s="111" t="s">
        <v>95</v>
      </c>
      <c r="B15" s="131">
        <v>29</v>
      </c>
      <c r="C15" s="131">
        <v>23</v>
      </c>
      <c r="D15" s="131">
        <v>52</v>
      </c>
      <c r="E15" s="131">
        <v>22</v>
      </c>
      <c r="F15" s="131" t="s">
        <v>37</v>
      </c>
      <c r="G15" s="131">
        <v>42</v>
      </c>
      <c r="H15" s="268">
        <v>23</v>
      </c>
      <c r="I15" s="30">
        <f t="shared" si="1"/>
        <v>1.0657846380007351E-2</v>
      </c>
      <c r="J15" s="30">
        <f t="shared" si="0"/>
        <v>9.4923648369789511E-3</v>
      </c>
      <c r="K15" s="30">
        <f t="shared" si="0"/>
        <v>3.3333333333333333E-2</v>
      </c>
      <c r="L15" s="30">
        <f t="shared" si="0"/>
        <v>1.5647226173541962E-2</v>
      </c>
      <c r="M15" s="30" t="s">
        <v>37</v>
      </c>
      <c r="N15" s="30">
        <f t="shared" si="0"/>
        <v>2.9432375613174491E-2</v>
      </c>
      <c r="O15" s="30">
        <f t="shared" si="0"/>
        <v>1.6986706056129987E-2</v>
      </c>
    </row>
    <row r="16" spans="1:18" x14ac:dyDescent="0.2">
      <c r="A16" s="112" t="s">
        <v>36</v>
      </c>
      <c r="B16" s="146">
        <v>2721</v>
      </c>
      <c r="C16" s="146">
        <v>2423</v>
      </c>
      <c r="D16" s="146">
        <v>1560</v>
      </c>
      <c r="E16" s="146">
        <v>1406</v>
      </c>
      <c r="F16" s="146">
        <v>1268</v>
      </c>
      <c r="G16" s="146">
        <v>1427</v>
      </c>
      <c r="H16" s="272">
        <v>1354</v>
      </c>
      <c r="I16" s="115">
        <f t="shared" si="1"/>
        <v>1</v>
      </c>
      <c r="J16" s="115">
        <f t="shared" si="0"/>
        <v>1</v>
      </c>
      <c r="K16" s="115">
        <f t="shared" si="0"/>
        <v>1</v>
      </c>
      <c r="L16" s="115">
        <f t="shared" si="0"/>
        <v>1</v>
      </c>
      <c r="M16" s="115">
        <f t="shared" si="0"/>
        <v>1</v>
      </c>
      <c r="N16" s="115">
        <f t="shared" si="0"/>
        <v>1</v>
      </c>
      <c r="O16" s="115">
        <f t="shared" si="0"/>
        <v>1</v>
      </c>
    </row>
    <row r="17" spans="1:15" x14ac:dyDescent="0.2">
      <c r="A17" s="269" t="s">
        <v>96</v>
      </c>
      <c r="B17" s="128">
        <v>88</v>
      </c>
      <c r="C17" s="128">
        <v>90</v>
      </c>
      <c r="D17" s="128">
        <v>91</v>
      </c>
      <c r="E17" s="128">
        <v>91</v>
      </c>
      <c r="F17" s="128">
        <v>84</v>
      </c>
      <c r="G17" s="128">
        <v>91</v>
      </c>
      <c r="H17" s="270">
        <v>90.5</v>
      </c>
      <c r="I17" s="222" t="s">
        <v>37</v>
      </c>
      <c r="J17" s="222" t="s">
        <v>37</v>
      </c>
      <c r="K17" s="222" t="s">
        <v>37</v>
      </c>
      <c r="L17" s="222" t="s">
        <v>37</v>
      </c>
      <c r="M17" s="222" t="s">
        <v>37</v>
      </c>
      <c r="N17" s="123" t="s">
        <v>37</v>
      </c>
      <c r="O17" s="123" t="s">
        <v>37</v>
      </c>
    </row>
    <row r="18" spans="1:15" x14ac:dyDescent="0.2">
      <c r="A18" s="27"/>
      <c r="B18" s="32"/>
      <c r="C18" s="32"/>
      <c r="D18" s="32"/>
      <c r="E18" s="32"/>
      <c r="F18" s="32"/>
      <c r="G18" s="32"/>
      <c r="H18" s="27"/>
      <c r="I18" s="32"/>
      <c r="J18" s="32"/>
      <c r="K18" s="32"/>
      <c r="L18" s="32"/>
      <c r="M18" s="32"/>
    </row>
    <row r="19" spans="1:15" ht="15.75" x14ac:dyDescent="0.2">
      <c r="A19" s="38" t="s">
        <v>247</v>
      </c>
      <c r="B19" s="32"/>
      <c r="C19" s="32"/>
      <c r="D19" s="32"/>
      <c r="E19" s="32"/>
      <c r="F19" s="32"/>
      <c r="G19" s="32"/>
      <c r="H19" s="27"/>
      <c r="I19" s="28"/>
      <c r="J19" s="28"/>
      <c r="K19" s="28"/>
      <c r="L19" s="28"/>
      <c r="M19" s="28"/>
    </row>
    <row r="20" spans="1:15" ht="25.5" x14ac:dyDescent="0.2">
      <c r="A20" s="129" t="s">
        <v>141</v>
      </c>
      <c r="B20" s="101" t="s">
        <v>132</v>
      </c>
      <c r="C20" s="101" t="s">
        <v>133</v>
      </c>
      <c r="D20" s="101" t="s">
        <v>134</v>
      </c>
      <c r="E20" s="101" t="s">
        <v>135</v>
      </c>
      <c r="F20" s="101" t="s">
        <v>172</v>
      </c>
      <c r="G20" s="101" t="s">
        <v>192</v>
      </c>
      <c r="H20" s="264" t="s">
        <v>244</v>
      </c>
      <c r="I20" s="101" t="s">
        <v>136</v>
      </c>
      <c r="J20" s="101" t="s">
        <v>140</v>
      </c>
      <c r="K20" s="101" t="s">
        <v>138</v>
      </c>
      <c r="L20" s="101" t="s">
        <v>139</v>
      </c>
      <c r="M20" s="101" t="s">
        <v>171</v>
      </c>
      <c r="N20" s="101" t="s">
        <v>193</v>
      </c>
      <c r="O20" s="101" t="s">
        <v>245</v>
      </c>
    </row>
    <row r="21" spans="1:15" x14ac:dyDescent="0.2">
      <c r="A21" s="132" t="s">
        <v>97</v>
      </c>
      <c r="B21" s="131">
        <v>241</v>
      </c>
      <c r="C21" s="131">
        <v>181</v>
      </c>
      <c r="D21" s="131">
        <v>101</v>
      </c>
      <c r="E21" s="131">
        <v>125</v>
      </c>
      <c r="F21" s="131">
        <v>142</v>
      </c>
      <c r="G21" s="131">
        <v>151</v>
      </c>
      <c r="H21" s="268">
        <v>121</v>
      </c>
      <c r="I21" s="30">
        <f>B21/B$34</f>
        <v>0.15379706445437141</v>
      </c>
      <c r="J21" s="30">
        <f t="shared" ref="J21:O34" si="2">C21/C$34</f>
        <v>0.13299044819985306</v>
      </c>
      <c r="K21" s="30">
        <f t="shared" si="2"/>
        <v>0.1294871794871795</v>
      </c>
      <c r="L21" s="30">
        <f t="shared" si="2"/>
        <v>0.1763046544428773</v>
      </c>
      <c r="M21" s="30">
        <f t="shared" si="2"/>
        <v>0.19505494505494506</v>
      </c>
      <c r="N21" s="30">
        <f t="shared" si="2"/>
        <v>0.20405405405405405</v>
      </c>
      <c r="O21" s="30">
        <f t="shared" si="2"/>
        <v>0.17285714285714285</v>
      </c>
    </row>
    <row r="22" spans="1:15" x14ac:dyDescent="0.2">
      <c r="A22" s="132" t="s">
        <v>98</v>
      </c>
      <c r="B22" s="131">
        <v>96</v>
      </c>
      <c r="C22" s="131">
        <v>112</v>
      </c>
      <c r="D22" s="131">
        <v>58</v>
      </c>
      <c r="E22" s="131">
        <v>60</v>
      </c>
      <c r="F22" s="131">
        <v>47</v>
      </c>
      <c r="G22" s="131">
        <v>67</v>
      </c>
      <c r="H22" s="268">
        <v>52</v>
      </c>
      <c r="I22" s="30">
        <f t="shared" ref="I22:I34" si="3">B22/B$34</f>
        <v>6.1263560944479899E-2</v>
      </c>
      <c r="J22" s="30">
        <f t="shared" si="2"/>
        <v>8.229243203526819E-2</v>
      </c>
      <c r="K22" s="30">
        <f t="shared" si="2"/>
        <v>7.4358974358974358E-2</v>
      </c>
      <c r="L22" s="30">
        <f t="shared" si="2"/>
        <v>8.4626234132581094E-2</v>
      </c>
      <c r="M22" s="30">
        <f t="shared" si="2"/>
        <v>6.4560439560439567E-2</v>
      </c>
      <c r="N22" s="30">
        <f t="shared" si="2"/>
        <v>9.0540540540540546E-2</v>
      </c>
      <c r="O22" s="30">
        <f t="shared" si="2"/>
        <v>7.4285714285714288E-2</v>
      </c>
    </row>
    <row r="23" spans="1:15" x14ac:dyDescent="0.2">
      <c r="A23" s="132" t="s">
        <v>99</v>
      </c>
      <c r="B23" s="131">
        <v>134</v>
      </c>
      <c r="C23" s="131">
        <v>112</v>
      </c>
      <c r="D23" s="131">
        <v>61</v>
      </c>
      <c r="E23" s="131">
        <v>40</v>
      </c>
      <c r="F23" s="131">
        <v>54</v>
      </c>
      <c r="G23" s="131">
        <v>48</v>
      </c>
      <c r="H23" s="268">
        <v>61</v>
      </c>
      <c r="I23" s="30">
        <f t="shared" si="3"/>
        <v>8.5513720485003192E-2</v>
      </c>
      <c r="J23" s="30">
        <f t="shared" si="2"/>
        <v>8.229243203526819E-2</v>
      </c>
      <c r="K23" s="30">
        <f t="shared" si="2"/>
        <v>7.8205128205128205E-2</v>
      </c>
      <c r="L23" s="30">
        <f t="shared" si="2"/>
        <v>5.6417489421720736E-2</v>
      </c>
      <c r="M23" s="30">
        <f t="shared" si="2"/>
        <v>7.4175824175824176E-2</v>
      </c>
      <c r="N23" s="30">
        <f t="shared" si="2"/>
        <v>6.4864864864864868E-2</v>
      </c>
      <c r="O23" s="30">
        <f t="shared" si="2"/>
        <v>8.7142857142857147E-2</v>
      </c>
    </row>
    <row r="24" spans="1:15" x14ac:dyDescent="0.2">
      <c r="A24" s="132" t="s">
        <v>100</v>
      </c>
      <c r="B24" s="131">
        <v>146</v>
      </c>
      <c r="C24" s="131">
        <v>115</v>
      </c>
      <c r="D24" s="131">
        <v>71</v>
      </c>
      <c r="E24" s="131">
        <v>69</v>
      </c>
      <c r="F24" s="131">
        <v>57</v>
      </c>
      <c r="G24" s="131">
        <v>69</v>
      </c>
      <c r="H24" s="268">
        <v>67</v>
      </c>
      <c r="I24" s="30">
        <f t="shared" si="3"/>
        <v>9.3171665603063183E-2</v>
      </c>
      <c r="J24" s="30">
        <f t="shared" si="2"/>
        <v>8.4496693607641435E-2</v>
      </c>
      <c r="K24" s="30">
        <f t="shared" si="2"/>
        <v>9.1025641025641021E-2</v>
      </c>
      <c r="L24" s="30">
        <f t="shared" si="2"/>
        <v>9.7320169252468267E-2</v>
      </c>
      <c r="M24" s="30">
        <f t="shared" si="2"/>
        <v>7.8296703296703296E-2</v>
      </c>
      <c r="N24" s="30">
        <f t="shared" si="2"/>
        <v>9.3243243243243248E-2</v>
      </c>
      <c r="O24" s="30">
        <f t="shared" si="2"/>
        <v>9.571428571428571E-2</v>
      </c>
    </row>
    <row r="25" spans="1:15" x14ac:dyDescent="0.2">
      <c r="A25" s="132" t="s">
        <v>101</v>
      </c>
      <c r="B25" s="131">
        <v>93</v>
      </c>
      <c r="C25" s="131">
        <v>75</v>
      </c>
      <c r="D25" s="131">
        <v>52</v>
      </c>
      <c r="E25" s="131">
        <v>40</v>
      </c>
      <c r="F25" s="131">
        <v>56</v>
      </c>
      <c r="G25" s="131">
        <v>52</v>
      </c>
      <c r="H25" s="268">
        <v>53</v>
      </c>
      <c r="I25" s="30">
        <f t="shared" si="3"/>
        <v>5.9349074664964904E-2</v>
      </c>
      <c r="J25" s="30">
        <f t="shared" si="2"/>
        <v>5.5106539309331376E-2</v>
      </c>
      <c r="K25" s="30">
        <f t="shared" si="2"/>
        <v>6.6666666666666666E-2</v>
      </c>
      <c r="L25" s="30">
        <f t="shared" si="2"/>
        <v>5.6417489421720736E-2</v>
      </c>
      <c r="M25" s="30">
        <f t="shared" si="2"/>
        <v>7.6923076923076927E-2</v>
      </c>
      <c r="N25" s="30">
        <f t="shared" si="2"/>
        <v>7.0270270270270274E-2</v>
      </c>
      <c r="O25" s="30">
        <f t="shared" si="2"/>
        <v>7.571428571428572E-2</v>
      </c>
    </row>
    <row r="26" spans="1:15" x14ac:dyDescent="0.2">
      <c r="A26" s="132" t="s">
        <v>102</v>
      </c>
      <c r="B26" s="131">
        <v>70</v>
      </c>
      <c r="C26" s="131">
        <v>78</v>
      </c>
      <c r="D26" s="131">
        <v>37</v>
      </c>
      <c r="E26" s="131">
        <v>32</v>
      </c>
      <c r="F26" s="131">
        <v>44</v>
      </c>
      <c r="G26" s="131">
        <v>46</v>
      </c>
      <c r="H26" s="268">
        <v>48</v>
      </c>
      <c r="I26" s="30">
        <f t="shared" si="3"/>
        <v>4.467134652201659E-2</v>
      </c>
      <c r="J26" s="30">
        <f t="shared" si="2"/>
        <v>5.7310800881704628E-2</v>
      </c>
      <c r="K26" s="30">
        <f t="shared" si="2"/>
        <v>4.7435897435897434E-2</v>
      </c>
      <c r="L26" s="30">
        <f t="shared" si="2"/>
        <v>4.5133991537376586E-2</v>
      </c>
      <c r="M26" s="30">
        <f t="shared" si="2"/>
        <v>6.043956043956044E-2</v>
      </c>
      <c r="N26" s="30">
        <f t="shared" si="2"/>
        <v>6.2162162162162166E-2</v>
      </c>
      <c r="O26" s="30">
        <f t="shared" si="2"/>
        <v>6.8571428571428575E-2</v>
      </c>
    </row>
    <row r="27" spans="1:15" x14ac:dyDescent="0.2">
      <c r="A27" s="132" t="s">
        <v>103</v>
      </c>
      <c r="B27" s="131">
        <v>78</v>
      </c>
      <c r="C27" s="131">
        <v>72</v>
      </c>
      <c r="D27" s="131">
        <v>47</v>
      </c>
      <c r="E27" s="131">
        <v>43</v>
      </c>
      <c r="F27" s="131">
        <v>45</v>
      </c>
      <c r="G27" s="131">
        <v>30</v>
      </c>
      <c r="H27" s="268">
        <v>40</v>
      </c>
      <c r="I27" s="30">
        <f t="shared" si="3"/>
        <v>4.9776643267389918E-2</v>
      </c>
      <c r="J27" s="30">
        <f t="shared" si="2"/>
        <v>5.2902277736958117E-2</v>
      </c>
      <c r="K27" s="30">
        <f t="shared" si="2"/>
        <v>6.0256410256410257E-2</v>
      </c>
      <c r="L27" s="30">
        <f t="shared" si="2"/>
        <v>6.0648801128349791E-2</v>
      </c>
      <c r="M27" s="30">
        <f t="shared" si="2"/>
        <v>6.1813186813186816E-2</v>
      </c>
      <c r="N27" s="30">
        <f t="shared" si="2"/>
        <v>4.0540540540540543E-2</v>
      </c>
      <c r="O27" s="30">
        <f t="shared" si="2"/>
        <v>5.7142857142857141E-2</v>
      </c>
    </row>
    <row r="28" spans="1:15" x14ac:dyDescent="0.2">
      <c r="A28" s="132" t="s">
        <v>104</v>
      </c>
      <c r="B28" s="131">
        <v>67</v>
      </c>
      <c r="C28" s="131">
        <v>76</v>
      </c>
      <c r="D28" s="131">
        <v>37</v>
      </c>
      <c r="E28" s="131">
        <v>38</v>
      </c>
      <c r="F28" s="131">
        <v>37</v>
      </c>
      <c r="G28" s="131">
        <v>46</v>
      </c>
      <c r="H28" s="268">
        <v>48</v>
      </c>
      <c r="I28" s="30">
        <f t="shared" si="3"/>
        <v>4.2756860242501596E-2</v>
      </c>
      <c r="J28" s="30">
        <f t="shared" si="2"/>
        <v>5.5841293166789124E-2</v>
      </c>
      <c r="K28" s="30">
        <f t="shared" si="2"/>
        <v>4.7435897435897434E-2</v>
      </c>
      <c r="L28" s="30">
        <f t="shared" si="2"/>
        <v>5.3596614950634697E-2</v>
      </c>
      <c r="M28" s="30">
        <f t="shared" si="2"/>
        <v>5.0824175824175824E-2</v>
      </c>
      <c r="N28" s="30">
        <f t="shared" si="2"/>
        <v>6.2162162162162166E-2</v>
      </c>
      <c r="O28" s="30">
        <f t="shared" si="2"/>
        <v>6.8571428571428575E-2</v>
      </c>
    </row>
    <row r="29" spans="1:15" x14ac:dyDescent="0.2">
      <c r="A29" s="132" t="s">
        <v>105</v>
      </c>
      <c r="B29" s="131">
        <v>260</v>
      </c>
      <c r="C29" s="131">
        <v>206</v>
      </c>
      <c r="D29" s="131">
        <v>121</v>
      </c>
      <c r="E29" s="131">
        <v>87</v>
      </c>
      <c r="F29" s="131">
        <v>80</v>
      </c>
      <c r="G29" s="131">
        <v>80</v>
      </c>
      <c r="H29" s="268">
        <v>63</v>
      </c>
      <c r="I29" s="30">
        <f t="shared" si="3"/>
        <v>0.16592214422463306</v>
      </c>
      <c r="J29" s="30">
        <f t="shared" si="2"/>
        <v>0.15135929463629685</v>
      </c>
      <c r="K29" s="30">
        <f t="shared" si="2"/>
        <v>0.15512820512820513</v>
      </c>
      <c r="L29" s="30">
        <f t="shared" si="2"/>
        <v>0.1227080394922426</v>
      </c>
      <c r="M29" s="30">
        <f t="shared" si="2"/>
        <v>0.10989010989010989</v>
      </c>
      <c r="N29" s="30">
        <f t="shared" si="2"/>
        <v>0.10810810810810811</v>
      </c>
      <c r="O29" s="30">
        <f t="shared" si="2"/>
        <v>0.09</v>
      </c>
    </row>
    <row r="30" spans="1:15" x14ac:dyDescent="0.2">
      <c r="A30" s="132" t="s">
        <v>106</v>
      </c>
      <c r="B30" s="131">
        <v>53</v>
      </c>
      <c r="C30" s="131">
        <v>50</v>
      </c>
      <c r="D30" s="131">
        <v>31</v>
      </c>
      <c r="E30" s="131">
        <v>27</v>
      </c>
      <c r="F30" s="131">
        <v>20</v>
      </c>
      <c r="G30" s="131">
        <v>33</v>
      </c>
      <c r="H30" s="268">
        <v>29</v>
      </c>
      <c r="I30" s="30">
        <f t="shared" si="3"/>
        <v>3.3822590938098279E-2</v>
      </c>
      <c r="J30" s="30">
        <f t="shared" si="2"/>
        <v>3.6737692872887584E-2</v>
      </c>
      <c r="K30" s="30">
        <f t="shared" si="2"/>
        <v>3.9743589743589741E-2</v>
      </c>
      <c r="L30" s="30">
        <f t="shared" si="2"/>
        <v>3.8081805359661498E-2</v>
      </c>
      <c r="M30" s="30">
        <f t="shared" si="2"/>
        <v>2.7472527472527472E-2</v>
      </c>
      <c r="N30" s="30">
        <f t="shared" si="2"/>
        <v>4.4594594594594597E-2</v>
      </c>
      <c r="O30" s="30">
        <f t="shared" si="2"/>
        <v>4.1428571428571426E-2</v>
      </c>
    </row>
    <row r="31" spans="1:15" x14ac:dyDescent="0.2">
      <c r="A31" s="132" t="s">
        <v>107</v>
      </c>
      <c r="B31" s="131">
        <v>41</v>
      </c>
      <c r="C31" s="131">
        <v>37</v>
      </c>
      <c r="D31" s="131">
        <v>28</v>
      </c>
      <c r="E31" s="131">
        <v>37</v>
      </c>
      <c r="F31" s="131">
        <v>29</v>
      </c>
      <c r="G31" s="131">
        <v>35</v>
      </c>
      <c r="H31" s="268">
        <v>30</v>
      </c>
      <c r="I31" s="30">
        <f t="shared" si="3"/>
        <v>2.6164645820038291E-2</v>
      </c>
      <c r="J31" s="30">
        <f t="shared" si="2"/>
        <v>2.718589272593681E-2</v>
      </c>
      <c r="K31" s="30">
        <f t="shared" si="2"/>
        <v>3.5897435897435895E-2</v>
      </c>
      <c r="L31" s="30">
        <f t="shared" si="2"/>
        <v>5.2186177715091681E-2</v>
      </c>
      <c r="M31" s="30">
        <f t="shared" si="2"/>
        <v>3.9835164835164832E-2</v>
      </c>
      <c r="N31" s="30">
        <f t="shared" si="2"/>
        <v>4.72972972972973E-2</v>
      </c>
      <c r="O31" s="30">
        <f t="shared" si="2"/>
        <v>4.2857142857142858E-2</v>
      </c>
    </row>
    <row r="32" spans="1:15" x14ac:dyDescent="0.2">
      <c r="A32" s="132" t="s">
        <v>108</v>
      </c>
      <c r="B32" s="131">
        <v>34</v>
      </c>
      <c r="C32" s="131">
        <v>33</v>
      </c>
      <c r="D32" s="131">
        <v>19</v>
      </c>
      <c r="E32" s="131">
        <v>17</v>
      </c>
      <c r="F32" s="131">
        <v>24</v>
      </c>
      <c r="G32" s="131">
        <v>22</v>
      </c>
      <c r="H32" s="268">
        <v>24</v>
      </c>
      <c r="I32" s="30">
        <f t="shared" si="3"/>
        <v>2.1697511167836629E-2</v>
      </c>
      <c r="J32" s="30">
        <f>C32/C$34</f>
        <v>2.4246877296105803E-2</v>
      </c>
      <c r="K32" s="30">
        <f t="shared" si="2"/>
        <v>2.4358974358974359E-2</v>
      </c>
      <c r="L32" s="30">
        <f t="shared" si="2"/>
        <v>2.3977433004231313E-2</v>
      </c>
      <c r="M32" s="30">
        <f t="shared" si="2"/>
        <v>3.2967032967032968E-2</v>
      </c>
      <c r="N32" s="30">
        <f t="shared" si="2"/>
        <v>2.9729729729729731E-2</v>
      </c>
      <c r="O32" s="30">
        <f t="shared" si="2"/>
        <v>3.4285714285714287E-2</v>
      </c>
    </row>
    <row r="33" spans="1:15" x14ac:dyDescent="0.2">
      <c r="A33" s="132" t="s">
        <v>109</v>
      </c>
      <c r="B33" s="131">
        <v>254</v>
      </c>
      <c r="C33" s="131">
        <v>214</v>
      </c>
      <c r="D33" s="131">
        <v>117</v>
      </c>
      <c r="E33" s="131">
        <v>94</v>
      </c>
      <c r="F33" s="131">
        <v>93</v>
      </c>
      <c r="G33" s="131">
        <v>61</v>
      </c>
      <c r="H33" s="268">
        <v>64</v>
      </c>
      <c r="I33" s="30">
        <f t="shared" si="3"/>
        <v>0.16209317166560305</v>
      </c>
      <c r="J33" s="30">
        <f t="shared" si="2"/>
        <v>0.15723732549595884</v>
      </c>
      <c r="K33" s="30">
        <f t="shared" si="2"/>
        <v>0.15</v>
      </c>
      <c r="L33" s="30">
        <f t="shared" si="2"/>
        <v>0.13258110014104371</v>
      </c>
      <c r="M33" s="30">
        <f t="shared" si="2"/>
        <v>0.12774725274725274</v>
      </c>
      <c r="N33" s="30">
        <f t="shared" si="2"/>
        <v>8.2432432432432437E-2</v>
      </c>
      <c r="O33" s="30">
        <f t="shared" si="2"/>
        <v>9.1428571428571428E-2</v>
      </c>
    </row>
    <row r="34" spans="1:15" x14ac:dyDescent="0.2">
      <c r="A34" s="271" t="s">
        <v>36</v>
      </c>
      <c r="B34" s="146">
        <v>1567</v>
      </c>
      <c r="C34" s="146">
        <v>1361</v>
      </c>
      <c r="D34" s="146">
        <v>780</v>
      </c>
      <c r="E34" s="146">
        <v>709</v>
      </c>
      <c r="F34" s="146">
        <v>728</v>
      </c>
      <c r="G34" s="146">
        <v>740</v>
      </c>
      <c r="H34" s="272">
        <v>700</v>
      </c>
      <c r="I34" s="115">
        <f t="shared" si="3"/>
        <v>1</v>
      </c>
      <c r="J34" s="115">
        <f t="shared" si="2"/>
        <v>1</v>
      </c>
      <c r="K34" s="115">
        <f t="shared" si="2"/>
        <v>1</v>
      </c>
      <c r="L34" s="115">
        <f t="shared" si="2"/>
        <v>1</v>
      </c>
      <c r="M34" s="115">
        <f t="shared" si="2"/>
        <v>1</v>
      </c>
      <c r="N34" s="115">
        <f t="shared" si="2"/>
        <v>1</v>
      </c>
      <c r="O34" s="115">
        <f t="shared" si="2"/>
        <v>1</v>
      </c>
    </row>
  </sheetData>
  <phoneticPr fontId="19" type="noConversion"/>
  <pageMargins left="0.7" right="0.7" top="0.75" bottom="0.75" header="0.3" footer="0.3"/>
  <tableParts count="2">
    <tablePart r:id="rId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4821FD-A6CB-4E96-A760-B9A2F70EB2FB}">
  <sheetPr codeName="Sheet17"/>
  <dimension ref="A1:S59"/>
  <sheetViews>
    <sheetView workbookViewId="0">
      <pane xSplit="2" ySplit="6" topLeftCell="C7" activePane="bottomRight" state="frozen"/>
      <selection pane="topRight" activeCell="C1" sqref="C1"/>
      <selection pane="bottomLeft" activeCell="A7" sqref="A7"/>
      <selection pane="bottomRight" activeCell="C7" sqref="C7"/>
    </sheetView>
  </sheetViews>
  <sheetFormatPr defaultColWidth="8.6640625" defaultRowHeight="15" x14ac:dyDescent="0.2"/>
  <cols>
    <col min="1" max="1" width="17.44140625" bestFit="1" customWidth="1"/>
    <col min="2" max="2" width="20.33203125" bestFit="1" customWidth="1"/>
    <col min="7" max="8" width="9.33203125" customWidth="1"/>
    <col min="10" max="10" width="9.33203125" customWidth="1"/>
    <col min="13" max="14" width="9.33203125" customWidth="1"/>
  </cols>
  <sheetData>
    <row r="1" spans="1:16" ht="15.75" x14ac:dyDescent="0.2">
      <c r="A1" s="38" t="s">
        <v>297</v>
      </c>
      <c r="B1" s="38"/>
      <c r="C1" s="34"/>
      <c r="D1" s="32"/>
      <c r="E1" s="32"/>
      <c r="F1" s="32"/>
      <c r="G1" s="32"/>
      <c r="H1" s="32"/>
      <c r="I1" s="27"/>
      <c r="J1" s="28"/>
      <c r="K1" s="28"/>
      <c r="L1" s="28"/>
      <c r="M1" s="28"/>
      <c r="N1" s="28"/>
    </row>
    <row r="2" spans="1:16" x14ac:dyDescent="0.2">
      <c r="A2" s="100" t="s">
        <v>340</v>
      </c>
      <c r="B2" s="99"/>
      <c r="C2" s="32"/>
      <c r="D2" s="32"/>
      <c r="E2" s="32"/>
      <c r="F2" s="32"/>
      <c r="G2" s="32"/>
      <c r="H2" s="32"/>
      <c r="I2" s="27"/>
      <c r="J2" s="28"/>
      <c r="K2" s="32"/>
      <c r="L2" s="28"/>
      <c r="M2" s="28"/>
      <c r="N2" s="28"/>
    </row>
    <row r="3" spans="1:16" x14ac:dyDescent="0.2">
      <c r="A3" s="99" t="s">
        <v>341</v>
      </c>
      <c r="B3" s="99"/>
      <c r="C3" s="32"/>
      <c r="D3" s="32"/>
      <c r="E3" s="32"/>
      <c r="F3" s="32"/>
      <c r="G3" s="32"/>
      <c r="H3" s="32"/>
      <c r="I3" s="27"/>
      <c r="J3" s="28"/>
      <c r="K3" s="32"/>
      <c r="L3" s="28"/>
      <c r="M3" s="28"/>
      <c r="N3" s="28"/>
    </row>
    <row r="4" spans="1:16" x14ac:dyDescent="0.2">
      <c r="A4" s="99" t="s">
        <v>147</v>
      </c>
      <c r="B4" s="99"/>
      <c r="C4" s="34"/>
      <c r="D4" s="34"/>
      <c r="E4" s="34"/>
      <c r="F4" s="34"/>
      <c r="G4" s="34"/>
      <c r="H4" s="34"/>
      <c r="I4" s="133"/>
      <c r="J4" s="34"/>
      <c r="K4" s="34"/>
      <c r="L4" s="34"/>
      <c r="M4" s="34"/>
      <c r="N4" s="34"/>
    </row>
    <row r="5" spans="1:16" ht="15.75" x14ac:dyDescent="0.2">
      <c r="A5" s="38" t="s">
        <v>298</v>
      </c>
      <c r="B5" s="99"/>
      <c r="C5" s="128"/>
      <c r="D5" s="128"/>
      <c r="E5" s="128"/>
      <c r="F5" s="128"/>
      <c r="G5" s="128"/>
      <c r="H5" s="34"/>
      <c r="I5" s="133"/>
      <c r="J5" s="34"/>
      <c r="K5" s="34"/>
      <c r="L5" s="128"/>
      <c r="M5" s="34"/>
      <c r="N5" s="34"/>
    </row>
    <row r="6" spans="1:16" ht="25.5" x14ac:dyDescent="0.2">
      <c r="A6" s="129" t="s">
        <v>334</v>
      </c>
      <c r="B6" s="129" t="s">
        <v>141</v>
      </c>
      <c r="C6" s="101" t="s">
        <v>132</v>
      </c>
      <c r="D6" s="101" t="s">
        <v>133</v>
      </c>
      <c r="E6" s="101" t="s">
        <v>134</v>
      </c>
      <c r="F6" s="101" t="s">
        <v>135</v>
      </c>
      <c r="G6" s="101" t="s">
        <v>172</v>
      </c>
      <c r="H6" s="101" t="s">
        <v>192</v>
      </c>
      <c r="I6" s="264" t="s">
        <v>244</v>
      </c>
      <c r="J6" s="101" t="s">
        <v>136</v>
      </c>
      <c r="K6" s="101" t="s">
        <v>140</v>
      </c>
      <c r="L6" s="101" t="s">
        <v>138</v>
      </c>
      <c r="M6" s="101" t="s">
        <v>139</v>
      </c>
      <c r="N6" s="101" t="s">
        <v>171</v>
      </c>
      <c r="O6" s="101" t="s">
        <v>193</v>
      </c>
      <c r="P6" s="101" t="s">
        <v>245</v>
      </c>
    </row>
    <row r="7" spans="1:16" x14ac:dyDescent="0.2">
      <c r="A7" s="27" t="s">
        <v>77</v>
      </c>
      <c r="B7" s="27" t="s">
        <v>87</v>
      </c>
      <c r="C7" s="134">
        <v>674</v>
      </c>
      <c r="D7" s="134">
        <v>639</v>
      </c>
      <c r="E7" s="134">
        <v>371</v>
      </c>
      <c r="F7" s="134">
        <v>350</v>
      </c>
      <c r="G7" s="134">
        <v>306</v>
      </c>
      <c r="H7" s="221">
        <v>335</v>
      </c>
      <c r="I7" s="273">
        <v>303</v>
      </c>
      <c r="J7" s="30">
        <f>C7/C$16</f>
        <v>0.55518945634266881</v>
      </c>
      <c r="K7" s="29">
        <f t="shared" ref="K7:P16" si="0">D7/D$16</f>
        <v>0.54568744662681468</v>
      </c>
      <c r="L7" s="29">
        <f t="shared" si="0"/>
        <v>0.4768637532133676</v>
      </c>
      <c r="M7" s="29">
        <f t="shared" si="0"/>
        <v>0.49645390070921985</v>
      </c>
      <c r="N7" s="29">
        <f t="shared" si="0"/>
        <v>0.53968253968253965</v>
      </c>
      <c r="O7" s="29">
        <f t="shared" si="0"/>
        <v>0.48550724637681159</v>
      </c>
      <c r="P7" s="29">
        <f t="shared" si="0"/>
        <v>0.47049689440993792</v>
      </c>
    </row>
    <row r="8" spans="1:16" x14ac:dyDescent="0.2">
      <c r="A8" s="27" t="s">
        <v>77</v>
      </c>
      <c r="B8" s="27" t="s">
        <v>88</v>
      </c>
      <c r="C8" s="134">
        <v>260</v>
      </c>
      <c r="D8" s="134">
        <v>243</v>
      </c>
      <c r="E8" s="134">
        <v>167</v>
      </c>
      <c r="F8" s="134">
        <v>131</v>
      </c>
      <c r="G8" s="134">
        <v>110</v>
      </c>
      <c r="H8" s="221">
        <v>132</v>
      </c>
      <c r="I8" s="273">
        <v>113</v>
      </c>
      <c r="J8" s="30">
        <f t="shared" ref="J8:J16" si="1">C8/C$16</f>
        <v>0.21416803953871499</v>
      </c>
      <c r="K8" s="29">
        <f t="shared" si="0"/>
        <v>0.20751494449188729</v>
      </c>
      <c r="L8" s="29">
        <f t="shared" si="0"/>
        <v>0.21465295629820053</v>
      </c>
      <c r="M8" s="29">
        <f t="shared" si="0"/>
        <v>0.18581560283687942</v>
      </c>
      <c r="N8" s="29">
        <f t="shared" si="0"/>
        <v>0.19400352733686066</v>
      </c>
      <c r="O8" s="29">
        <f t="shared" si="0"/>
        <v>0.19130434782608696</v>
      </c>
      <c r="P8" s="29">
        <f t="shared" si="0"/>
        <v>0.17546583850931677</v>
      </c>
    </row>
    <row r="9" spans="1:16" x14ac:dyDescent="0.2">
      <c r="A9" s="27" t="s">
        <v>77</v>
      </c>
      <c r="B9" s="27" t="s">
        <v>89</v>
      </c>
      <c r="C9" s="134">
        <v>132</v>
      </c>
      <c r="D9" s="134">
        <v>128</v>
      </c>
      <c r="E9" s="134">
        <v>83</v>
      </c>
      <c r="F9" s="134">
        <v>99</v>
      </c>
      <c r="G9" s="134">
        <v>61</v>
      </c>
      <c r="H9" s="221">
        <v>80</v>
      </c>
      <c r="I9" s="273">
        <v>92</v>
      </c>
      <c r="J9" s="30">
        <f t="shared" si="1"/>
        <v>0.10873146622734761</v>
      </c>
      <c r="K9" s="29">
        <f t="shared" si="0"/>
        <v>0.10930828351836037</v>
      </c>
      <c r="L9" s="29">
        <f t="shared" si="0"/>
        <v>0.10668380462724936</v>
      </c>
      <c r="M9" s="29">
        <f t="shared" si="0"/>
        <v>0.14042553191489363</v>
      </c>
      <c r="N9" s="29">
        <f t="shared" si="0"/>
        <v>0.10758377425044091</v>
      </c>
      <c r="O9" s="29">
        <f t="shared" si="0"/>
        <v>0.11594202898550725</v>
      </c>
      <c r="P9" s="29">
        <f t="shared" si="0"/>
        <v>0.14285714285714285</v>
      </c>
    </row>
    <row r="10" spans="1:16" x14ac:dyDescent="0.2">
      <c r="A10" s="27" t="s">
        <v>77</v>
      </c>
      <c r="B10" s="27" t="s">
        <v>90</v>
      </c>
      <c r="C10" s="134">
        <v>81</v>
      </c>
      <c r="D10" s="134">
        <v>81</v>
      </c>
      <c r="E10" s="134">
        <v>73</v>
      </c>
      <c r="F10" s="134">
        <v>59</v>
      </c>
      <c r="G10" s="134">
        <v>44</v>
      </c>
      <c r="H10" s="221">
        <v>59</v>
      </c>
      <c r="I10" s="273">
        <v>73</v>
      </c>
      <c r="J10" s="30">
        <f t="shared" si="1"/>
        <v>6.6721581548599668E-2</v>
      </c>
      <c r="K10" s="29">
        <f t="shared" si="0"/>
        <v>6.9171648163962429E-2</v>
      </c>
      <c r="L10" s="29">
        <f t="shared" si="0"/>
        <v>9.383033419023136E-2</v>
      </c>
      <c r="M10" s="29">
        <f t="shared" si="0"/>
        <v>8.3687943262411343E-2</v>
      </c>
      <c r="N10" s="29">
        <f t="shared" si="0"/>
        <v>7.7601410934744264E-2</v>
      </c>
      <c r="O10" s="29">
        <f t="shared" si="0"/>
        <v>8.5507246376811591E-2</v>
      </c>
      <c r="P10" s="29">
        <f t="shared" si="0"/>
        <v>0.11335403726708075</v>
      </c>
    </row>
    <row r="11" spans="1:16" x14ac:dyDescent="0.2">
      <c r="A11" s="27" t="s">
        <v>77</v>
      </c>
      <c r="B11" s="27" t="s">
        <v>91</v>
      </c>
      <c r="C11" s="134">
        <v>21</v>
      </c>
      <c r="D11" s="134">
        <v>28</v>
      </c>
      <c r="E11" s="134">
        <v>29</v>
      </c>
      <c r="F11" s="134">
        <v>23</v>
      </c>
      <c r="G11" s="134">
        <v>19</v>
      </c>
      <c r="H11" s="221">
        <v>32</v>
      </c>
      <c r="I11" s="273">
        <v>22</v>
      </c>
      <c r="J11" s="30">
        <f t="shared" si="1"/>
        <v>1.729818780889621E-2</v>
      </c>
      <c r="K11" s="29">
        <f t="shared" si="0"/>
        <v>2.3911187019641331E-2</v>
      </c>
      <c r="L11" s="29">
        <f t="shared" si="0"/>
        <v>3.7275064267352186E-2</v>
      </c>
      <c r="M11" s="29">
        <f t="shared" si="0"/>
        <v>3.2624113475177303E-2</v>
      </c>
      <c r="N11" s="29">
        <f t="shared" si="0"/>
        <v>3.3509700176366841E-2</v>
      </c>
      <c r="O11" s="29">
        <f t="shared" si="0"/>
        <v>4.6376811594202899E-2</v>
      </c>
      <c r="P11" s="29">
        <f t="shared" si="0"/>
        <v>3.4161490683229816E-2</v>
      </c>
    </row>
    <row r="12" spans="1:16" x14ac:dyDescent="0.2">
      <c r="A12" s="27" t="s">
        <v>77</v>
      </c>
      <c r="B12" s="27" t="s">
        <v>92</v>
      </c>
      <c r="C12" s="134">
        <v>19</v>
      </c>
      <c r="D12" s="134">
        <v>18</v>
      </c>
      <c r="E12" s="134">
        <v>12</v>
      </c>
      <c r="F12" s="134">
        <v>11</v>
      </c>
      <c r="G12" s="134">
        <v>16</v>
      </c>
      <c r="H12" s="221">
        <v>12</v>
      </c>
      <c r="I12" s="273">
        <v>14</v>
      </c>
      <c r="J12" s="30">
        <f t="shared" si="1"/>
        <v>1.5650741350906095E-2</v>
      </c>
      <c r="K12" s="29">
        <f t="shared" si="0"/>
        <v>1.5371477369769428E-2</v>
      </c>
      <c r="L12" s="29">
        <f t="shared" si="0"/>
        <v>1.5424164524421594E-2</v>
      </c>
      <c r="M12" s="29">
        <f t="shared" si="0"/>
        <v>1.5602836879432624E-2</v>
      </c>
      <c r="N12" s="29">
        <f t="shared" si="0"/>
        <v>2.821869488536155E-2</v>
      </c>
      <c r="O12" s="29">
        <f t="shared" si="0"/>
        <v>1.7391304347826087E-2</v>
      </c>
      <c r="P12" s="29">
        <f t="shared" si="0"/>
        <v>2.1739130434782608E-2</v>
      </c>
    </row>
    <row r="13" spans="1:16" x14ac:dyDescent="0.2">
      <c r="A13" s="27" t="s">
        <v>77</v>
      </c>
      <c r="B13" s="27" t="s">
        <v>93</v>
      </c>
      <c r="C13" s="134">
        <v>10</v>
      </c>
      <c r="D13" s="134">
        <v>15</v>
      </c>
      <c r="E13" s="134" t="s">
        <v>37</v>
      </c>
      <c r="F13" s="134">
        <v>5</v>
      </c>
      <c r="G13" s="134" t="s">
        <v>37</v>
      </c>
      <c r="H13" s="221">
        <v>7</v>
      </c>
      <c r="I13" s="273">
        <v>14</v>
      </c>
      <c r="J13" s="30">
        <f t="shared" si="1"/>
        <v>8.2372322899505763E-3</v>
      </c>
      <c r="K13" s="29">
        <f t="shared" si="0"/>
        <v>1.2809564474807857E-2</v>
      </c>
      <c r="L13" s="29" t="s">
        <v>37</v>
      </c>
      <c r="M13" s="29">
        <f t="shared" si="0"/>
        <v>7.0921985815602835E-3</v>
      </c>
      <c r="N13" s="29" t="s">
        <v>37</v>
      </c>
      <c r="O13" s="29">
        <f t="shared" si="0"/>
        <v>1.0144927536231883E-2</v>
      </c>
      <c r="P13" s="29">
        <f t="shared" si="0"/>
        <v>2.1739130434782608E-2</v>
      </c>
    </row>
    <row r="14" spans="1:16" x14ac:dyDescent="0.2">
      <c r="A14" s="27" t="s">
        <v>77</v>
      </c>
      <c r="B14" s="27" t="s">
        <v>94</v>
      </c>
      <c r="C14" s="134">
        <v>6</v>
      </c>
      <c r="D14" s="134">
        <v>6</v>
      </c>
      <c r="E14" s="134" t="s">
        <v>37</v>
      </c>
      <c r="F14" s="134">
        <v>9</v>
      </c>
      <c r="G14" s="134">
        <v>0</v>
      </c>
      <c r="H14" s="221">
        <v>5</v>
      </c>
      <c r="I14" s="273" t="s">
        <v>37</v>
      </c>
      <c r="J14" s="30">
        <f t="shared" si="1"/>
        <v>4.9423393739703456E-3</v>
      </c>
      <c r="K14" s="29">
        <f t="shared" si="0"/>
        <v>5.1238257899231428E-3</v>
      </c>
      <c r="L14" s="29" t="s">
        <v>37</v>
      </c>
      <c r="M14" s="29">
        <f t="shared" si="0"/>
        <v>1.276595744680851E-2</v>
      </c>
      <c r="N14" s="29">
        <f t="shared" si="0"/>
        <v>0</v>
      </c>
      <c r="O14" s="29">
        <f t="shared" si="0"/>
        <v>7.246376811594203E-3</v>
      </c>
      <c r="P14" s="29" t="s">
        <v>37</v>
      </c>
    </row>
    <row r="15" spans="1:16" x14ac:dyDescent="0.2">
      <c r="A15" s="27" t="s">
        <v>77</v>
      </c>
      <c r="B15" s="27" t="s">
        <v>95</v>
      </c>
      <c r="C15" s="134">
        <v>11</v>
      </c>
      <c r="D15" s="134">
        <v>13</v>
      </c>
      <c r="E15" s="134">
        <v>31</v>
      </c>
      <c r="F15" s="134">
        <v>18</v>
      </c>
      <c r="G15" s="134" t="s">
        <v>37</v>
      </c>
      <c r="H15" s="221">
        <v>28</v>
      </c>
      <c r="I15" s="273" t="s">
        <v>37</v>
      </c>
      <c r="J15" s="30">
        <f t="shared" si="1"/>
        <v>9.0609555189456337E-3</v>
      </c>
      <c r="K15" s="29">
        <f t="shared" si="0"/>
        <v>1.1101622544833475E-2</v>
      </c>
      <c r="L15" s="29">
        <f t="shared" si="0"/>
        <v>3.9845758354755782E-2</v>
      </c>
      <c r="M15" s="29">
        <f t="shared" si="0"/>
        <v>2.553191489361702E-2</v>
      </c>
      <c r="N15" s="29" t="s">
        <v>37</v>
      </c>
      <c r="O15" s="29">
        <f t="shared" si="0"/>
        <v>4.0579710144927533E-2</v>
      </c>
      <c r="P15" s="29" t="s">
        <v>37</v>
      </c>
    </row>
    <row r="16" spans="1:16" x14ac:dyDescent="0.2">
      <c r="A16" s="31" t="s">
        <v>77</v>
      </c>
      <c r="B16" s="31" t="s">
        <v>36</v>
      </c>
      <c r="C16" s="135">
        <v>1214</v>
      </c>
      <c r="D16" s="135">
        <v>1171</v>
      </c>
      <c r="E16" s="135">
        <v>778</v>
      </c>
      <c r="F16" s="135">
        <v>705</v>
      </c>
      <c r="G16" s="135">
        <v>567</v>
      </c>
      <c r="H16" s="135">
        <v>690</v>
      </c>
      <c r="I16" s="274">
        <v>644</v>
      </c>
      <c r="J16" s="115">
        <f t="shared" si="1"/>
        <v>1</v>
      </c>
      <c r="K16" s="115">
        <f t="shared" si="0"/>
        <v>1</v>
      </c>
      <c r="L16" s="115">
        <f t="shared" si="0"/>
        <v>1</v>
      </c>
      <c r="M16" s="115">
        <f t="shared" si="0"/>
        <v>1</v>
      </c>
      <c r="N16" s="115">
        <f t="shared" si="0"/>
        <v>1</v>
      </c>
      <c r="O16" s="115">
        <f t="shared" si="0"/>
        <v>1</v>
      </c>
      <c r="P16" s="115">
        <f t="shared" si="0"/>
        <v>1</v>
      </c>
    </row>
    <row r="17" spans="1:19" x14ac:dyDescent="0.2">
      <c r="A17" s="31" t="s">
        <v>77</v>
      </c>
      <c r="B17" s="31" t="s">
        <v>96</v>
      </c>
      <c r="C17" s="135">
        <v>90</v>
      </c>
      <c r="D17" s="135">
        <v>91</v>
      </c>
      <c r="E17" s="135">
        <v>100.5</v>
      </c>
      <c r="F17" s="135">
        <v>96</v>
      </c>
      <c r="G17" s="135">
        <v>90</v>
      </c>
      <c r="H17" s="135">
        <v>96.5</v>
      </c>
      <c r="I17" s="274">
        <v>113</v>
      </c>
      <c r="J17" s="151" t="s">
        <v>37</v>
      </c>
      <c r="K17" s="151" t="s">
        <v>37</v>
      </c>
      <c r="L17" s="151" t="s">
        <v>37</v>
      </c>
      <c r="M17" s="151" t="s">
        <v>37</v>
      </c>
      <c r="N17" s="151" t="s">
        <v>37</v>
      </c>
      <c r="O17" s="151" t="s">
        <v>37</v>
      </c>
      <c r="P17" s="151" t="s">
        <v>37</v>
      </c>
    </row>
    <row r="18" spans="1:19" x14ac:dyDescent="0.2">
      <c r="A18" s="136" t="s">
        <v>65</v>
      </c>
      <c r="B18" s="136" t="s">
        <v>87</v>
      </c>
      <c r="C18" s="137">
        <v>879</v>
      </c>
      <c r="D18" s="137">
        <v>710</v>
      </c>
      <c r="E18" s="137">
        <v>398</v>
      </c>
      <c r="F18" s="137">
        <v>349</v>
      </c>
      <c r="G18" s="137">
        <v>413</v>
      </c>
      <c r="H18" s="137">
        <v>387</v>
      </c>
      <c r="I18" s="275">
        <v>382</v>
      </c>
      <c r="J18" s="116">
        <f>C18/C$27</f>
        <v>0.59311740890688258</v>
      </c>
      <c r="K18" s="116">
        <f t="shared" ref="K18:P27" si="2">D18/D$27</f>
        <v>0.57443365695792881</v>
      </c>
      <c r="L18" s="116">
        <f t="shared" si="2"/>
        <v>0.52026143790849677</v>
      </c>
      <c r="M18" s="116">
        <f t="shared" si="2"/>
        <v>0.50800582241630277</v>
      </c>
      <c r="N18" s="116">
        <f t="shared" si="2"/>
        <v>0.60204081632653061</v>
      </c>
      <c r="O18" s="116">
        <f t="shared" si="2"/>
        <v>0.54430379746835444</v>
      </c>
      <c r="P18" s="116">
        <f t="shared" si="2"/>
        <v>0.5568513119533528</v>
      </c>
    </row>
    <row r="19" spans="1:19" x14ac:dyDescent="0.2">
      <c r="A19" s="27" t="s">
        <v>65</v>
      </c>
      <c r="B19" s="27" t="s">
        <v>88</v>
      </c>
      <c r="C19" s="134">
        <v>314</v>
      </c>
      <c r="D19" s="134">
        <v>243</v>
      </c>
      <c r="E19" s="134">
        <v>128</v>
      </c>
      <c r="F19" s="134">
        <v>137</v>
      </c>
      <c r="G19" s="134">
        <v>124</v>
      </c>
      <c r="H19" s="221">
        <v>142</v>
      </c>
      <c r="I19" s="273">
        <v>129</v>
      </c>
      <c r="J19" s="30">
        <f t="shared" ref="J19:J27" si="3">C19/C$27</f>
        <v>0.21187584345479082</v>
      </c>
      <c r="K19" s="29">
        <f t="shared" si="2"/>
        <v>0.19660194174757281</v>
      </c>
      <c r="L19" s="29">
        <f t="shared" si="2"/>
        <v>0.16732026143790849</v>
      </c>
      <c r="M19" s="29">
        <f t="shared" si="2"/>
        <v>0.19941775836972345</v>
      </c>
      <c r="N19" s="29">
        <f t="shared" si="2"/>
        <v>0.18075801749271136</v>
      </c>
      <c r="O19" s="29">
        <f t="shared" si="2"/>
        <v>0.19971870604781997</v>
      </c>
      <c r="P19" s="29">
        <f t="shared" si="2"/>
        <v>0.18804664723032069</v>
      </c>
    </row>
    <row r="20" spans="1:19" x14ac:dyDescent="0.2">
      <c r="A20" s="27" t="s">
        <v>65</v>
      </c>
      <c r="B20" s="27" t="s">
        <v>89</v>
      </c>
      <c r="C20" s="134">
        <v>135</v>
      </c>
      <c r="D20" s="134">
        <v>138</v>
      </c>
      <c r="E20" s="134">
        <v>97</v>
      </c>
      <c r="F20" s="134">
        <v>102</v>
      </c>
      <c r="G20" s="134">
        <v>62</v>
      </c>
      <c r="H20" s="221">
        <v>77</v>
      </c>
      <c r="I20" s="273">
        <v>81</v>
      </c>
      <c r="J20" s="30">
        <f t="shared" si="3"/>
        <v>9.1093117408906882E-2</v>
      </c>
      <c r="K20" s="29">
        <f t="shared" si="2"/>
        <v>0.11165048543689321</v>
      </c>
      <c r="L20" s="29">
        <f t="shared" si="2"/>
        <v>0.12679738562091503</v>
      </c>
      <c r="M20" s="29">
        <f t="shared" si="2"/>
        <v>0.14847161572052403</v>
      </c>
      <c r="N20" s="29">
        <f t="shared" si="2"/>
        <v>9.0379008746355682E-2</v>
      </c>
      <c r="O20" s="29">
        <f t="shared" si="2"/>
        <v>0.10829817158931083</v>
      </c>
      <c r="P20" s="29">
        <f t="shared" si="2"/>
        <v>0.11807580174927114</v>
      </c>
    </row>
    <row r="21" spans="1:19" x14ac:dyDescent="0.2">
      <c r="A21" s="27" t="s">
        <v>65</v>
      </c>
      <c r="B21" s="27" t="s">
        <v>90</v>
      </c>
      <c r="C21" s="134">
        <v>79</v>
      </c>
      <c r="D21" s="134">
        <v>78</v>
      </c>
      <c r="E21" s="134">
        <v>66</v>
      </c>
      <c r="F21" s="134">
        <v>48</v>
      </c>
      <c r="G21" s="134">
        <v>42</v>
      </c>
      <c r="H21" s="221">
        <v>49</v>
      </c>
      <c r="I21" s="273">
        <v>52</v>
      </c>
      <c r="J21" s="30">
        <f t="shared" si="3"/>
        <v>5.3306342780026994E-2</v>
      </c>
      <c r="K21" s="29">
        <f t="shared" si="2"/>
        <v>6.3106796116504854E-2</v>
      </c>
      <c r="L21" s="29">
        <f t="shared" si="2"/>
        <v>8.6274509803921567E-2</v>
      </c>
      <c r="M21" s="29">
        <f t="shared" si="2"/>
        <v>6.9868995633187769E-2</v>
      </c>
      <c r="N21" s="29">
        <f t="shared" si="2"/>
        <v>6.1224489795918366E-2</v>
      </c>
      <c r="O21" s="29">
        <f t="shared" si="2"/>
        <v>6.8917018284106887E-2</v>
      </c>
      <c r="P21" s="29">
        <f t="shared" si="2"/>
        <v>7.5801749271137031E-2</v>
      </c>
    </row>
    <row r="22" spans="1:19" x14ac:dyDescent="0.2">
      <c r="A22" s="27" t="s">
        <v>65</v>
      </c>
      <c r="B22" s="27" t="s">
        <v>91</v>
      </c>
      <c r="C22" s="134">
        <v>19</v>
      </c>
      <c r="D22" s="134">
        <v>26</v>
      </c>
      <c r="E22" s="134">
        <v>32</v>
      </c>
      <c r="F22" s="134">
        <v>25</v>
      </c>
      <c r="G22" s="134">
        <v>17</v>
      </c>
      <c r="H22" s="221">
        <v>24</v>
      </c>
      <c r="I22" s="273">
        <v>11</v>
      </c>
      <c r="J22" s="30">
        <f t="shared" si="3"/>
        <v>1.282051282051282E-2</v>
      </c>
      <c r="K22" s="29">
        <f t="shared" si="2"/>
        <v>2.1035598705501618E-2</v>
      </c>
      <c r="L22" s="29">
        <f t="shared" si="2"/>
        <v>4.1830065359477121E-2</v>
      </c>
      <c r="M22" s="29">
        <f t="shared" si="2"/>
        <v>3.6390101892285295E-2</v>
      </c>
      <c r="N22" s="29">
        <f t="shared" si="2"/>
        <v>2.478134110787172E-2</v>
      </c>
      <c r="O22" s="29">
        <f t="shared" si="2"/>
        <v>3.3755274261603373E-2</v>
      </c>
      <c r="P22" s="29">
        <f t="shared" si="2"/>
        <v>1.6034985422740525E-2</v>
      </c>
    </row>
    <row r="23" spans="1:19" x14ac:dyDescent="0.2">
      <c r="A23" s="27" t="s">
        <v>65</v>
      </c>
      <c r="B23" s="27" t="s">
        <v>92</v>
      </c>
      <c r="C23" s="134">
        <v>24</v>
      </c>
      <c r="D23" s="134">
        <v>16</v>
      </c>
      <c r="E23" s="134">
        <v>8</v>
      </c>
      <c r="F23" s="134">
        <v>9</v>
      </c>
      <c r="G23" s="134">
        <v>14</v>
      </c>
      <c r="H23" s="221">
        <v>6</v>
      </c>
      <c r="I23" s="273">
        <v>12</v>
      </c>
      <c r="J23" s="30">
        <f t="shared" si="3"/>
        <v>1.6194331983805668E-2</v>
      </c>
      <c r="K23" s="29">
        <f t="shared" si="2"/>
        <v>1.2944983818770227E-2</v>
      </c>
      <c r="L23" s="29">
        <f t="shared" si="2"/>
        <v>1.045751633986928E-2</v>
      </c>
      <c r="M23" s="29">
        <f t="shared" si="2"/>
        <v>1.3100436681222707E-2</v>
      </c>
      <c r="N23" s="29">
        <f t="shared" si="2"/>
        <v>2.0408163265306121E-2</v>
      </c>
      <c r="O23" s="29">
        <f t="shared" si="2"/>
        <v>8.4388185654008432E-3</v>
      </c>
      <c r="P23" s="29">
        <f t="shared" si="2"/>
        <v>1.7492711370262391E-2</v>
      </c>
    </row>
    <row r="24" spans="1:19" x14ac:dyDescent="0.2">
      <c r="A24" s="27" t="s">
        <v>65</v>
      </c>
      <c r="B24" s="27" t="s">
        <v>93</v>
      </c>
      <c r="C24" s="134" t="s">
        <v>37</v>
      </c>
      <c r="D24" s="134">
        <v>9</v>
      </c>
      <c r="E24" s="134">
        <v>9</v>
      </c>
      <c r="F24" s="134" t="s">
        <v>37</v>
      </c>
      <c r="G24" s="134" t="s">
        <v>37</v>
      </c>
      <c r="H24" s="221">
        <v>7</v>
      </c>
      <c r="I24" s="273" t="s">
        <v>37</v>
      </c>
      <c r="J24" s="30" t="s">
        <v>37</v>
      </c>
      <c r="K24" s="29">
        <f t="shared" si="2"/>
        <v>7.2815533980582527E-3</v>
      </c>
      <c r="L24" s="29">
        <f t="shared" si="2"/>
        <v>1.1764705882352941E-2</v>
      </c>
      <c r="M24" s="29" t="s">
        <v>37</v>
      </c>
      <c r="N24" s="29" t="s">
        <v>37</v>
      </c>
      <c r="O24" s="29">
        <f t="shared" si="2"/>
        <v>9.8452883263009851E-3</v>
      </c>
      <c r="P24" s="29" t="s">
        <v>37</v>
      </c>
    </row>
    <row r="25" spans="1:19" x14ac:dyDescent="0.2">
      <c r="A25" s="27" t="s">
        <v>65</v>
      </c>
      <c r="B25" s="27" t="s">
        <v>94</v>
      </c>
      <c r="C25" s="134" t="s">
        <v>37</v>
      </c>
      <c r="D25" s="134">
        <v>6</v>
      </c>
      <c r="E25" s="134">
        <v>6</v>
      </c>
      <c r="F25" s="134">
        <v>7</v>
      </c>
      <c r="G25" s="134" t="s">
        <v>37</v>
      </c>
      <c r="H25" s="221">
        <v>5</v>
      </c>
      <c r="I25" s="273" t="s">
        <v>37</v>
      </c>
      <c r="J25" s="30" t="s">
        <v>37</v>
      </c>
      <c r="K25" s="29">
        <f t="shared" si="2"/>
        <v>4.8543689320388345E-3</v>
      </c>
      <c r="L25" s="29">
        <f t="shared" si="2"/>
        <v>7.8431372549019607E-3</v>
      </c>
      <c r="M25" s="29">
        <f t="shared" si="2"/>
        <v>1.0189228529839884E-2</v>
      </c>
      <c r="N25" s="29" t="s">
        <v>37</v>
      </c>
      <c r="O25" s="29">
        <f t="shared" si="2"/>
        <v>7.0323488045007029E-3</v>
      </c>
      <c r="P25" s="29" t="s">
        <v>37</v>
      </c>
    </row>
    <row r="26" spans="1:19" x14ac:dyDescent="0.2">
      <c r="A26" s="27" t="s">
        <v>65</v>
      </c>
      <c r="B26" s="27" t="s">
        <v>95</v>
      </c>
      <c r="C26" s="134">
        <v>18</v>
      </c>
      <c r="D26" s="134">
        <v>10</v>
      </c>
      <c r="E26" s="134">
        <v>21</v>
      </c>
      <c r="F26" s="134" t="s">
        <v>37</v>
      </c>
      <c r="G26" s="134">
        <v>8</v>
      </c>
      <c r="H26" s="221">
        <v>14</v>
      </c>
      <c r="I26" s="273">
        <v>13</v>
      </c>
      <c r="J26" s="30">
        <f t="shared" si="3"/>
        <v>1.2145748987854251E-2</v>
      </c>
      <c r="K26" s="29">
        <f t="shared" si="2"/>
        <v>8.0906148867313909E-3</v>
      </c>
      <c r="L26" s="29">
        <f t="shared" si="2"/>
        <v>2.7450980392156862E-2</v>
      </c>
      <c r="M26" s="29" t="s">
        <v>37</v>
      </c>
      <c r="N26" s="29">
        <f t="shared" si="2"/>
        <v>1.1661807580174927E-2</v>
      </c>
      <c r="O26" s="29">
        <f t="shared" si="2"/>
        <v>1.969057665260197E-2</v>
      </c>
      <c r="P26" s="29">
        <f t="shared" si="2"/>
        <v>1.8950437317784258E-2</v>
      </c>
    </row>
    <row r="27" spans="1:19" x14ac:dyDescent="0.2">
      <c r="A27" s="31" t="s">
        <v>65</v>
      </c>
      <c r="B27" s="31" t="s">
        <v>36</v>
      </c>
      <c r="C27" s="135">
        <v>1482</v>
      </c>
      <c r="D27" s="135">
        <v>1236</v>
      </c>
      <c r="E27" s="135">
        <v>765</v>
      </c>
      <c r="F27" s="135">
        <v>687</v>
      </c>
      <c r="G27" s="135">
        <v>686</v>
      </c>
      <c r="H27" s="135">
        <v>711</v>
      </c>
      <c r="I27" s="274">
        <v>686</v>
      </c>
      <c r="J27" s="115">
        <f t="shared" si="3"/>
        <v>1</v>
      </c>
      <c r="K27" s="115">
        <f t="shared" si="2"/>
        <v>1</v>
      </c>
      <c r="L27" s="115">
        <f t="shared" si="2"/>
        <v>1</v>
      </c>
      <c r="M27" s="115">
        <f t="shared" si="2"/>
        <v>1</v>
      </c>
      <c r="N27" s="115">
        <f t="shared" si="2"/>
        <v>1</v>
      </c>
      <c r="O27" s="115">
        <f t="shared" si="2"/>
        <v>1</v>
      </c>
      <c r="P27" s="115">
        <f t="shared" si="2"/>
        <v>1</v>
      </c>
      <c r="S27" s="228"/>
    </row>
    <row r="28" spans="1:19" x14ac:dyDescent="0.2">
      <c r="A28" s="138" t="s">
        <v>65</v>
      </c>
      <c r="B28" s="138" t="s">
        <v>173</v>
      </c>
      <c r="C28" s="139">
        <v>88</v>
      </c>
      <c r="D28" s="139">
        <v>89</v>
      </c>
      <c r="E28" s="139">
        <v>91</v>
      </c>
      <c r="F28" s="139">
        <v>91</v>
      </c>
      <c r="G28" s="139">
        <v>76</v>
      </c>
      <c r="H28" s="139">
        <v>87</v>
      </c>
      <c r="I28" s="276">
        <v>85</v>
      </c>
      <c r="J28" s="149" t="s">
        <v>37</v>
      </c>
      <c r="K28" s="150" t="s">
        <v>37</v>
      </c>
      <c r="L28" s="150" t="s">
        <v>37</v>
      </c>
      <c r="M28" s="150" t="s">
        <v>37</v>
      </c>
      <c r="N28" s="150" t="s">
        <v>37</v>
      </c>
      <c r="O28" s="150" t="s">
        <v>37</v>
      </c>
      <c r="P28" s="150" t="s">
        <v>37</v>
      </c>
    </row>
    <row r="29" spans="1:19" x14ac:dyDescent="0.2">
      <c r="A29" s="27"/>
      <c r="B29" s="27"/>
      <c r="C29" s="28"/>
      <c r="D29" s="28"/>
      <c r="E29" s="28"/>
      <c r="F29" s="28"/>
      <c r="G29" s="28"/>
      <c r="H29" s="28"/>
      <c r="I29" s="103"/>
      <c r="J29" s="28"/>
      <c r="K29" s="28"/>
      <c r="L29" s="28"/>
      <c r="M29" s="28"/>
      <c r="N29" s="28"/>
    </row>
    <row r="30" spans="1:19" ht="15.75" x14ac:dyDescent="0.2">
      <c r="A30" s="38" t="s">
        <v>299</v>
      </c>
      <c r="B30" s="38"/>
      <c r="C30" s="34"/>
      <c r="D30" s="32"/>
      <c r="E30" s="32"/>
      <c r="F30" s="32"/>
      <c r="G30" s="32"/>
      <c r="H30" s="32"/>
      <c r="I30" s="111"/>
      <c r="J30" s="28"/>
      <c r="K30" s="28"/>
      <c r="L30" s="28"/>
      <c r="M30" s="28"/>
      <c r="N30" s="28"/>
    </row>
    <row r="31" spans="1:19" ht="25.5" x14ac:dyDescent="0.2">
      <c r="A31" s="129" t="s">
        <v>334</v>
      </c>
      <c r="B31" s="129" t="s">
        <v>141</v>
      </c>
      <c r="C31" s="101" t="s">
        <v>132</v>
      </c>
      <c r="D31" s="101" t="s">
        <v>133</v>
      </c>
      <c r="E31" s="101" t="s">
        <v>134</v>
      </c>
      <c r="F31" s="101" t="s">
        <v>135</v>
      </c>
      <c r="G31" s="101" t="s">
        <v>172</v>
      </c>
      <c r="H31" s="101" t="s">
        <v>192</v>
      </c>
      <c r="I31" s="264" t="s">
        <v>244</v>
      </c>
      <c r="J31" s="101" t="s">
        <v>136</v>
      </c>
      <c r="K31" s="101" t="s">
        <v>140</v>
      </c>
      <c r="L31" s="101" t="s">
        <v>138</v>
      </c>
      <c r="M31" s="101" t="s">
        <v>139</v>
      </c>
      <c r="N31" s="101" t="s">
        <v>171</v>
      </c>
      <c r="O31" s="101" t="s">
        <v>193</v>
      </c>
      <c r="P31" s="101" t="s">
        <v>245</v>
      </c>
    </row>
    <row r="32" spans="1:19" x14ac:dyDescent="0.2">
      <c r="A32" s="140" t="s">
        <v>77</v>
      </c>
      <c r="B32" s="141" t="s">
        <v>97</v>
      </c>
      <c r="C32" s="220">
        <v>96</v>
      </c>
      <c r="D32" s="220">
        <v>92</v>
      </c>
      <c r="E32" s="220">
        <v>53</v>
      </c>
      <c r="F32" s="220">
        <v>61</v>
      </c>
      <c r="G32" s="220">
        <v>64</v>
      </c>
      <c r="H32" s="220">
        <v>71</v>
      </c>
      <c r="I32" s="277">
        <v>55</v>
      </c>
      <c r="J32" s="30">
        <f>C32/C$45</f>
        <v>0.14243323442136499</v>
      </c>
      <c r="K32" s="30">
        <f t="shared" ref="K32:P45" si="4">D32/D$45</f>
        <v>0.14397496087636932</v>
      </c>
      <c r="L32" s="30">
        <f t="shared" si="4"/>
        <v>0.14285714285714285</v>
      </c>
      <c r="M32" s="30">
        <f t="shared" si="4"/>
        <v>0.17428571428571429</v>
      </c>
      <c r="N32" s="30">
        <f t="shared" si="4"/>
        <v>0.20915032679738563</v>
      </c>
      <c r="O32" s="30">
        <f t="shared" si="4"/>
        <v>0.21194029850746268</v>
      </c>
      <c r="P32" s="30">
        <f t="shared" si="4"/>
        <v>0.18151815181518152</v>
      </c>
    </row>
    <row r="33" spans="1:16" x14ac:dyDescent="0.2">
      <c r="A33" s="140" t="s">
        <v>77</v>
      </c>
      <c r="B33" s="141" t="s">
        <v>98</v>
      </c>
      <c r="C33" s="220">
        <v>42</v>
      </c>
      <c r="D33" s="220">
        <v>57</v>
      </c>
      <c r="E33" s="220">
        <v>24</v>
      </c>
      <c r="F33" s="220">
        <v>24</v>
      </c>
      <c r="G33" s="220">
        <v>20</v>
      </c>
      <c r="H33" s="220">
        <v>36</v>
      </c>
      <c r="I33" s="277">
        <v>18</v>
      </c>
      <c r="J33" s="30">
        <f t="shared" ref="J33:J45" si="5">C33/C$45</f>
        <v>6.2314540059347182E-2</v>
      </c>
      <c r="K33" s="30">
        <f t="shared" si="4"/>
        <v>8.9201877934272297E-2</v>
      </c>
      <c r="L33" s="30">
        <f t="shared" si="4"/>
        <v>6.4690026954177901E-2</v>
      </c>
      <c r="M33" s="30">
        <f t="shared" si="4"/>
        <v>6.8571428571428575E-2</v>
      </c>
      <c r="N33" s="30">
        <f t="shared" si="4"/>
        <v>6.535947712418301E-2</v>
      </c>
      <c r="O33" s="30">
        <f t="shared" si="4"/>
        <v>0.10746268656716418</v>
      </c>
      <c r="P33" s="30">
        <f t="shared" si="4"/>
        <v>5.9405940594059403E-2</v>
      </c>
    </row>
    <row r="34" spans="1:16" x14ac:dyDescent="0.2">
      <c r="A34" s="140" t="s">
        <v>77</v>
      </c>
      <c r="B34" s="141" t="s">
        <v>99</v>
      </c>
      <c r="C34" s="220">
        <v>63</v>
      </c>
      <c r="D34" s="220">
        <v>56</v>
      </c>
      <c r="E34" s="220">
        <v>31</v>
      </c>
      <c r="F34" s="220">
        <v>20</v>
      </c>
      <c r="G34" s="220">
        <v>29</v>
      </c>
      <c r="H34" s="220">
        <v>19</v>
      </c>
      <c r="I34" s="277">
        <v>29</v>
      </c>
      <c r="J34" s="30">
        <f t="shared" si="5"/>
        <v>9.3471810089020765E-2</v>
      </c>
      <c r="K34" s="30">
        <f t="shared" si="4"/>
        <v>8.7636932707355245E-2</v>
      </c>
      <c r="L34" s="30">
        <f t="shared" si="4"/>
        <v>8.3557951482479784E-2</v>
      </c>
      <c r="M34" s="30">
        <f t="shared" si="4"/>
        <v>5.7142857142857141E-2</v>
      </c>
      <c r="N34" s="30">
        <f t="shared" si="4"/>
        <v>9.4771241830065356E-2</v>
      </c>
      <c r="O34" s="30">
        <f t="shared" si="4"/>
        <v>5.6716417910447764E-2</v>
      </c>
      <c r="P34" s="30">
        <f t="shared" si="4"/>
        <v>9.5709570957095716E-2</v>
      </c>
    </row>
    <row r="35" spans="1:16" x14ac:dyDescent="0.2">
      <c r="A35" s="140" t="s">
        <v>77</v>
      </c>
      <c r="B35" s="141" t="s">
        <v>100</v>
      </c>
      <c r="C35" s="220">
        <v>59</v>
      </c>
      <c r="D35" s="220">
        <v>53</v>
      </c>
      <c r="E35" s="220">
        <v>33</v>
      </c>
      <c r="F35" s="220">
        <v>33</v>
      </c>
      <c r="G35" s="220">
        <v>24</v>
      </c>
      <c r="H35" s="220">
        <v>27</v>
      </c>
      <c r="I35" s="277">
        <v>28</v>
      </c>
      <c r="J35" s="30">
        <f t="shared" si="5"/>
        <v>8.7537091988130561E-2</v>
      </c>
      <c r="K35" s="30">
        <f t="shared" si="4"/>
        <v>8.2942097026604072E-2</v>
      </c>
      <c r="L35" s="30">
        <f t="shared" si="4"/>
        <v>8.8948787061994605E-2</v>
      </c>
      <c r="M35" s="30">
        <f t="shared" si="4"/>
        <v>9.4285714285714292E-2</v>
      </c>
      <c r="N35" s="30">
        <f t="shared" si="4"/>
        <v>7.8431372549019607E-2</v>
      </c>
      <c r="O35" s="30">
        <f t="shared" si="4"/>
        <v>8.0597014925373134E-2</v>
      </c>
      <c r="P35" s="30">
        <f t="shared" si="4"/>
        <v>9.2409240924092403E-2</v>
      </c>
    </row>
    <row r="36" spans="1:16" x14ac:dyDescent="0.2">
      <c r="A36" s="140" t="s">
        <v>77</v>
      </c>
      <c r="B36" s="141" t="s">
        <v>101</v>
      </c>
      <c r="C36" s="220">
        <v>39</v>
      </c>
      <c r="D36" s="220">
        <v>34</v>
      </c>
      <c r="E36" s="220">
        <v>27</v>
      </c>
      <c r="F36" s="220">
        <v>29</v>
      </c>
      <c r="G36" s="220">
        <v>18</v>
      </c>
      <c r="H36" s="220">
        <v>22</v>
      </c>
      <c r="I36" s="277">
        <v>27</v>
      </c>
      <c r="J36" s="30">
        <f t="shared" si="5"/>
        <v>5.7863501483679525E-2</v>
      </c>
      <c r="K36" s="30">
        <f t="shared" si="4"/>
        <v>5.3208137715179966E-2</v>
      </c>
      <c r="L36" s="30">
        <f t="shared" si="4"/>
        <v>7.277628032345014E-2</v>
      </c>
      <c r="M36" s="30">
        <f t="shared" si="4"/>
        <v>8.2857142857142851E-2</v>
      </c>
      <c r="N36" s="30">
        <f t="shared" si="4"/>
        <v>5.8823529411764705E-2</v>
      </c>
      <c r="O36" s="30">
        <f t="shared" si="4"/>
        <v>6.5671641791044774E-2</v>
      </c>
      <c r="P36" s="30">
        <f t="shared" si="4"/>
        <v>8.9108910891089105E-2</v>
      </c>
    </row>
    <row r="37" spans="1:16" x14ac:dyDescent="0.2">
      <c r="A37" s="140" t="s">
        <v>77</v>
      </c>
      <c r="B37" s="141" t="s">
        <v>102</v>
      </c>
      <c r="C37" s="220">
        <v>43</v>
      </c>
      <c r="D37" s="220">
        <v>39</v>
      </c>
      <c r="E37" s="220">
        <v>22</v>
      </c>
      <c r="F37" s="220">
        <v>15</v>
      </c>
      <c r="G37" s="220">
        <v>22</v>
      </c>
      <c r="H37" s="220">
        <v>28</v>
      </c>
      <c r="I37" s="277">
        <v>19</v>
      </c>
      <c r="J37" s="30">
        <f t="shared" si="5"/>
        <v>6.3798219584569729E-2</v>
      </c>
      <c r="K37" s="30">
        <f t="shared" si="4"/>
        <v>6.1032863849765258E-2</v>
      </c>
      <c r="L37" s="30">
        <f t="shared" si="4"/>
        <v>5.9299191374663072E-2</v>
      </c>
      <c r="M37" s="30">
        <f t="shared" si="4"/>
        <v>4.2857142857142858E-2</v>
      </c>
      <c r="N37" s="30">
        <f t="shared" si="4"/>
        <v>7.1895424836601302E-2</v>
      </c>
      <c r="O37" s="30">
        <f t="shared" si="4"/>
        <v>8.3582089552238809E-2</v>
      </c>
      <c r="P37" s="30">
        <f t="shared" si="4"/>
        <v>6.2706270627062702E-2</v>
      </c>
    </row>
    <row r="38" spans="1:16" x14ac:dyDescent="0.2">
      <c r="A38" s="140" t="s">
        <v>77</v>
      </c>
      <c r="B38" s="141" t="s">
        <v>103</v>
      </c>
      <c r="C38" s="220">
        <v>34</v>
      </c>
      <c r="D38" s="220">
        <v>34</v>
      </c>
      <c r="E38" s="220">
        <v>27</v>
      </c>
      <c r="F38" s="220">
        <v>27</v>
      </c>
      <c r="G38" s="220">
        <v>18</v>
      </c>
      <c r="H38" s="220">
        <v>14</v>
      </c>
      <c r="I38" s="277">
        <v>16</v>
      </c>
      <c r="J38" s="30">
        <f t="shared" si="5"/>
        <v>5.0445103857566766E-2</v>
      </c>
      <c r="K38" s="30">
        <f t="shared" si="4"/>
        <v>5.3208137715179966E-2</v>
      </c>
      <c r="L38" s="30">
        <f t="shared" si="4"/>
        <v>7.277628032345014E-2</v>
      </c>
      <c r="M38" s="30">
        <f t="shared" si="4"/>
        <v>7.7142857142857138E-2</v>
      </c>
      <c r="N38" s="30">
        <f t="shared" si="4"/>
        <v>5.8823529411764705E-2</v>
      </c>
      <c r="O38" s="30">
        <f t="shared" si="4"/>
        <v>4.1791044776119404E-2</v>
      </c>
      <c r="P38" s="30">
        <f t="shared" si="4"/>
        <v>5.2805280528052806E-2</v>
      </c>
    </row>
    <row r="39" spans="1:16" x14ac:dyDescent="0.2">
      <c r="A39" s="140" t="s">
        <v>77</v>
      </c>
      <c r="B39" s="141" t="s">
        <v>104</v>
      </c>
      <c r="C39" s="220">
        <v>39</v>
      </c>
      <c r="D39" s="220">
        <v>42</v>
      </c>
      <c r="E39" s="220">
        <v>20</v>
      </c>
      <c r="F39" s="220">
        <v>18</v>
      </c>
      <c r="G39" s="220">
        <v>15</v>
      </c>
      <c r="H39" s="220">
        <v>28</v>
      </c>
      <c r="I39" s="277">
        <v>19</v>
      </c>
      <c r="J39" s="30">
        <f t="shared" si="5"/>
        <v>5.7863501483679525E-2</v>
      </c>
      <c r="K39" s="30">
        <f t="shared" si="4"/>
        <v>6.5727699530516437E-2</v>
      </c>
      <c r="L39" s="30">
        <f t="shared" si="4"/>
        <v>5.3908355795148251E-2</v>
      </c>
      <c r="M39" s="30">
        <f t="shared" si="4"/>
        <v>5.1428571428571428E-2</v>
      </c>
      <c r="N39" s="30">
        <f t="shared" si="4"/>
        <v>4.9019607843137254E-2</v>
      </c>
      <c r="O39" s="30">
        <f t="shared" si="4"/>
        <v>8.3582089552238809E-2</v>
      </c>
      <c r="P39" s="30">
        <f t="shared" si="4"/>
        <v>6.2706270627062702E-2</v>
      </c>
    </row>
    <row r="40" spans="1:16" x14ac:dyDescent="0.2">
      <c r="A40" s="140" t="s">
        <v>77</v>
      </c>
      <c r="B40" s="141" t="s">
        <v>105</v>
      </c>
      <c r="C40" s="220">
        <v>107</v>
      </c>
      <c r="D40" s="220">
        <v>87</v>
      </c>
      <c r="E40" s="220">
        <v>54</v>
      </c>
      <c r="F40" s="220">
        <v>43</v>
      </c>
      <c r="G40" s="220">
        <v>32</v>
      </c>
      <c r="H40" s="220">
        <v>35</v>
      </c>
      <c r="I40" s="277">
        <v>29</v>
      </c>
      <c r="J40" s="30">
        <f t="shared" si="5"/>
        <v>0.15875370919881307</v>
      </c>
      <c r="K40" s="30">
        <f t="shared" si="4"/>
        <v>0.13615023474178403</v>
      </c>
      <c r="L40" s="30">
        <f t="shared" si="4"/>
        <v>0.14555256064690028</v>
      </c>
      <c r="M40" s="30">
        <f t="shared" si="4"/>
        <v>0.12285714285714286</v>
      </c>
      <c r="N40" s="30">
        <f t="shared" si="4"/>
        <v>0.10457516339869281</v>
      </c>
      <c r="O40" s="30">
        <f t="shared" si="4"/>
        <v>0.1044776119402985</v>
      </c>
      <c r="P40" s="30">
        <f t="shared" si="4"/>
        <v>9.5709570957095716E-2</v>
      </c>
    </row>
    <row r="41" spans="1:16" x14ac:dyDescent="0.2">
      <c r="A41" s="140" t="s">
        <v>77</v>
      </c>
      <c r="B41" s="141" t="s">
        <v>106</v>
      </c>
      <c r="C41" s="220">
        <v>22</v>
      </c>
      <c r="D41" s="220">
        <v>13</v>
      </c>
      <c r="E41" s="220">
        <v>16</v>
      </c>
      <c r="F41" s="220">
        <v>11</v>
      </c>
      <c r="G41" s="220">
        <v>8</v>
      </c>
      <c r="H41" s="220">
        <v>10</v>
      </c>
      <c r="I41" s="277">
        <v>15</v>
      </c>
      <c r="J41" s="30">
        <f t="shared" si="5"/>
        <v>3.2640949554896145E-2</v>
      </c>
      <c r="K41" s="30">
        <f t="shared" si="4"/>
        <v>2.0344287949921751E-2</v>
      </c>
      <c r="L41" s="30">
        <f t="shared" si="4"/>
        <v>4.3126684636118601E-2</v>
      </c>
      <c r="M41" s="30">
        <f t="shared" si="4"/>
        <v>3.1428571428571431E-2</v>
      </c>
      <c r="N41" s="30">
        <f t="shared" si="4"/>
        <v>2.6143790849673203E-2</v>
      </c>
      <c r="O41" s="30">
        <f t="shared" si="4"/>
        <v>2.9850746268656716E-2</v>
      </c>
      <c r="P41" s="30">
        <f t="shared" si="4"/>
        <v>4.9504950495049507E-2</v>
      </c>
    </row>
    <row r="42" spans="1:16" x14ac:dyDescent="0.2">
      <c r="A42" s="140" t="s">
        <v>77</v>
      </c>
      <c r="B42" s="141" t="s">
        <v>107</v>
      </c>
      <c r="C42" s="220">
        <v>22</v>
      </c>
      <c r="D42" s="220">
        <v>22</v>
      </c>
      <c r="E42" s="220">
        <v>12</v>
      </c>
      <c r="F42" s="220">
        <v>19</v>
      </c>
      <c r="G42" s="220">
        <v>7</v>
      </c>
      <c r="H42" s="220">
        <v>14</v>
      </c>
      <c r="I42" s="277">
        <v>14</v>
      </c>
      <c r="J42" s="30">
        <f t="shared" si="5"/>
        <v>3.2640949554896145E-2</v>
      </c>
      <c r="K42" s="30">
        <f t="shared" si="4"/>
        <v>3.4428794992175271E-2</v>
      </c>
      <c r="L42" s="30">
        <f t="shared" si="4"/>
        <v>3.2345013477088951E-2</v>
      </c>
      <c r="M42" s="30">
        <f t="shared" si="4"/>
        <v>5.4285714285714284E-2</v>
      </c>
      <c r="N42" s="30">
        <f t="shared" si="4"/>
        <v>2.2875816993464051E-2</v>
      </c>
      <c r="O42" s="30">
        <f t="shared" si="4"/>
        <v>4.1791044776119404E-2</v>
      </c>
      <c r="P42" s="30">
        <f t="shared" si="4"/>
        <v>4.6204620462046202E-2</v>
      </c>
    </row>
    <row r="43" spans="1:16" x14ac:dyDescent="0.2">
      <c r="A43" s="140" t="s">
        <v>77</v>
      </c>
      <c r="B43" s="141" t="s">
        <v>108</v>
      </c>
      <c r="C43" s="220">
        <v>14</v>
      </c>
      <c r="D43" s="220">
        <v>13</v>
      </c>
      <c r="E43" s="220">
        <v>7</v>
      </c>
      <c r="F43" s="220">
        <v>10</v>
      </c>
      <c r="G43" s="220">
        <v>10</v>
      </c>
      <c r="H43" s="220">
        <v>9</v>
      </c>
      <c r="I43" s="277">
        <v>13</v>
      </c>
      <c r="J43" s="30">
        <f t="shared" si="5"/>
        <v>2.0771513353115726E-2</v>
      </c>
      <c r="K43" s="30">
        <f t="shared" si="4"/>
        <v>2.0344287949921751E-2</v>
      </c>
      <c r="L43" s="30">
        <f t="shared" si="4"/>
        <v>1.8867924528301886E-2</v>
      </c>
      <c r="M43" s="30">
        <f t="shared" si="4"/>
        <v>2.8571428571428571E-2</v>
      </c>
      <c r="N43" s="30">
        <f t="shared" si="4"/>
        <v>3.2679738562091505E-2</v>
      </c>
      <c r="O43" s="30">
        <f t="shared" si="4"/>
        <v>2.6865671641791045E-2</v>
      </c>
      <c r="P43" s="30">
        <f t="shared" si="4"/>
        <v>4.2904290429042903E-2</v>
      </c>
    </row>
    <row r="44" spans="1:16" x14ac:dyDescent="0.2">
      <c r="A44" s="140" t="s">
        <v>77</v>
      </c>
      <c r="B44" s="141" t="s">
        <v>109</v>
      </c>
      <c r="C44" s="220">
        <v>94</v>
      </c>
      <c r="D44" s="220">
        <v>97</v>
      </c>
      <c r="E44" s="220">
        <v>45</v>
      </c>
      <c r="F44" s="220">
        <v>40</v>
      </c>
      <c r="G44" s="220">
        <v>39</v>
      </c>
      <c r="H44" s="220">
        <v>22</v>
      </c>
      <c r="I44" s="277">
        <v>21</v>
      </c>
      <c r="J44" s="30">
        <f t="shared" si="5"/>
        <v>0.1394658753709199</v>
      </c>
      <c r="K44" s="30">
        <f t="shared" si="4"/>
        <v>0.15179968701095461</v>
      </c>
      <c r="L44" s="30">
        <f t="shared" si="4"/>
        <v>0.12129380053908356</v>
      </c>
      <c r="M44" s="30">
        <f t="shared" si="4"/>
        <v>0.11428571428571428</v>
      </c>
      <c r="N44" s="30">
        <f t="shared" si="4"/>
        <v>0.12745098039215685</v>
      </c>
      <c r="O44" s="30">
        <f t="shared" si="4"/>
        <v>6.5671641791044774E-2</v>
      </c>
      <c r="P44" s="30">
        <f t="shared" si="4"/>
        <v>6.9306930693069313E-2</v>
      </c>
    </row>
    <row r="45" spans="1:16" x14ac:dyDescent="0.2">
      <c r="A45" s="142" t="s">
        <v>77</v>
      </c>
      <c r="B45" s="143" t="s">
        <v>36</v>
      </c>
      <c r="C45" s="144">
        <v>674</v>
      </c>
      <c r="D45" s="144">
        <v>639</v>
      </c>
      <c r="E45" s="144">
        <v>371</v>
      </c>
      <c r="F45" s="144">
        <v>350</v>
      </c>
      <c r="G45" s="144">
        <v>306</v>
      </c>
      <c r="H45" s="144">
        <v>335</v>
      </c>
      <c r="I45" s="278">
        <v>303</v>
      </c>
      <c r="J45" s="108">
        <f t="shared" si="5"/>
        <v>1</v>
      </c>
      <c r="K45" s="108">
        <f t="shared" si="4"/>
        <v>1</v>
      </c>
      <c r="L45" s="108">
        <f t="shared" si="4"/>
        <v>1</v>
      </c>
      <c r="M45" s="108">
        <f t="shared" si="4"/>
        <v>1</v>
      </c>
      <c r="N45" s="108">
        <f t="shared" si="4"/>
        <v>1</v>
      </c>
      <c r="O45" s="108">
        <f t="shared" si="4"/>
        <v>1</v>
      </c>
      <c r="P45" s="108">
        <f t="shared" si="4"/>
        <v>1</v>
      </c>
    </row>
    <row r="46" spans="1:16" x14ac:dyDescent="0.2">
      <c r="A46" s="145" t="s">
        <v>65</v>
      </c>
      <c r="B46" s="141" t="s">
        <v>97</v>
      </c>
      <c r="C46" s="220">
        <v>144</v>
      </c>
      <c r="D46" s="220">
        <v>84</v>
      </c>
      <c r="E46" s="220">
        <v>47</v>
      </c>
      <c r="F46" s="220">
        <v>59</v>
      </c>
      <c r="G46" s="220">
        <v>76</v>
      </c>
      <c r="H46" s="220">
        <v>74</v>
      </c>
      <c r="I46" s="277">
        <v>58</v>
      </c>
      <c r="J46" s="30">
        <f>C46/C$59</f>
        <v>0.16382252559726962</v>
      </c>
      <c r="K46" s="30">
        <f t="shared" ref="K46:P59" si="6">D46/D$59</f>
        <v>0.11830985915492957</v>
      </c>
      <c r="L46" s="30">
        <f t="shared" si="6"/>
        <v>0.11809045226130653</v>
      </c>
      <c r="M46" s="30">
        <f t="shared" si="6"/>
        <v>0.16905444126074498</v>
      </c>
      <c r="N46" s="30">
        <f t="shared" si="6"/>
        <v>0.18401937046004843</v>
      </c>
      <c r="O46" s="30">
        <f t="shared" si="6"/>
        <v>0.19121447028423771</v>
      </c>
      <c r="P46" s="30">
        <f t="shared" si="6"/>
        <v>0.15183246073298429</v>
      </c>
    </row>
    <row r="47" spans="1:16" x14ac:dyDescent="0.2">
      <c r="A47" s="140" t="s">
        <v>65</v>
      </c>
      <c r="B47" s="141" t="s">
        <v>98</v>
      </c>
      <c r="C47" s="220">
        <v>53</v>
      </c>
      <c r="D47" s="220">
        <v>55</v>
      </c>
      <c r="E47" s="220">
        <v>33</v>
      </c>
      <c r="F47" s="220">
        <v>36</v>
      </c>
      <c r="G47" s="220">
        <v>26</v>
      </c>
      <c r="H47" s="220">
        <v>29</v>
      </c>
      <c r="I47" s="277">
        <v>33</v>
      </c>
      <c r="J47" s="30">
        <f t="shared" ref="J47:J59" si="7">C47/C$59</f>
        <v>6.0295790671217292E-2</v>
      </c>
      <c r="K47" s="30">
        <f t="shared" si="6"/>
        <v>7.746478873239436E-2</v>
      </c>
      <c r="L47" s="30">
        <f t="shared" si="6"/>
        <v>8.2914572864321606E-2</v>
      </c>
      <c r="M47" s="30">
        <f t="shared" si="6"/>
        <v>0.10315186246418338</v>
      </c>
      <c r="N47" s="30">
        <f t="shared" si="6"/>
        <v>6.2953995157384993E-2</v>
      </c>
      <c r="O47" s="30">
        <f t="shared" si="6"/>
        <v>7.4935400516795869E-2</v>
      </c>
      <c r="P47" s="30">
        <f t="shared" si="6"/>
        <v>8.6387434554973816E-2</v>
      </c>
    </row>
    <row r="48" spans="1:16" x14ac:dyDescent="0.2">
      <c r="A48" s="140" t="s">
        <v>65</v>
      </c>
      <c r="B48" s="141" t="s">
        <v>99</v>
      </c>
      <c r="C48" s="220">
        <v>70</v>
      </c>
      <c r="D48" s="220">
        <v>53</v>
      </c>
      <c r="E48" s="220">
        <v>28</v>
      </c>
      <c r="F48" s="220">
        <v>20</v>
      </c>
      <c r="G48" s="220">
        <v>24</v>
      </c>
      <c r="H48" s="220">
        <v>28</v>
      </c>
      <c r="I48" s="277">
        <v>31</v>
      </c>
      <c r="J48" s="30">
        <f t="shared" si="7"/>
        <v>7.9635949943117179E-2</v>
      </c>
      <c r="K48" s="30">
        <f t="shared" si="6"/>
        <v>7.464788732394366E-2</v>
      </c>
      <c r="L48" s="30">
        <f t="shared" si="6"/>
        <v>7.0351758793969849E-2</v>
      </c>
      <c r="M48" s="30">
        <f t="shared" si="6"/>
        <v>5.730659025787966E-2</v>
      </c>
      <c r="N48" s="30">
        <f t="shared" si="6"/>
        <v>5.8111380145278453E-2</v>
      </c>
      <c r="O48" s="30">
        <f t="shared" si="6"/>
        <v>7.2351421188630485E-2</v>
      </c>
      <c r="P48" s="30">
        <f t="shared" si="6"/>
        <v>8.1151832460732987E-2</v>
      </c>
    </row>
    <row r="49" spans="1:16" x14ac:dyDescent="0.2">
      <c r="A49" s="140" t="s">
        <v>65</v>
      </c>
      <c r="B49" s="141" t="s">
        <v>100</v>
      </c>
      <c r="C49" s="220">
        <v>84</v>
      </c>
      <c r="D49" s="220">
        <v>61</v>
      </c>
      <c r="E49" s="220">
        <v>38</v>
      </c>
      <c r="F49" s="220">
        <v>36</v>
      </c>
      <c r="G49" s="220">
        <v>33</v>
      </c>
      <c r="H49" s="220">
        <v>41</v>
      </c>
      <c r="I49" s="277">
        <v>37</v>
      </c>
      <c r="J49" s="30">
        <f t="shared" si="7"/>
        <v>9.556313993174062E-2</v>
      </c>
      <c r="K49" s="30">
        <f t="shared" si="6"/>
        <v>8.5915492957746475E-2</v>
      </c>
      <c r="L49" s="30">
        <f t="shared" si="6"/>
        <v>9.5477386934673364E-2</v>
      </c>
      <c r="M49" s="30">
        <f t="shared" si="6"/>
        <v>0.10315186246418338</v>
      </c>
      <c r="N49" s="30">
        <f t="shared" si="6"/>
        <v>7.990314769975787E-2</v>
      </c>
      <c r="O49" s="30">
        <f t="shared" si="6"/>
        <v>0.10594315245478036</v>
      </c>
      <c r="P49" s="30">
        <f t="shared" si="6"/>
        <v>9.6858638743455502E-2</v>
      </c>
    </row>
    <row r="50" spans="1:16" x14ac:dyDescent="0.2">
      <c r="A50" s="140" t="s">
        <v>65</v>
      </c>
      <c r="B50" s="141" t="s">
        <v>101</v>
      </c>
      <c r="C50" s="220">
        <v>53</v>
      </c>
      <c r="D50" s="220">
        <v>41</v>
      </c>
      <c r="E50" s="220">
        <v>24</v>
      </c>
      <c r="F50" s="220">
        <v>10</v>
      </c>
      <c r="G50" s="220">
        <v>38</v>
      </c>
      <c r="H50" s="220">
        <v>30</v>
      </c>
      <c r="I50" s="277">
        <v>26</v>
      </c>
      <c r="J50" s="30">
        <f t="shared" si="7"/>
        <v>6.0295790671217292E-2</v>
      </c>
      <c r="K50" s="30">
        <f t="shared" si="6"/>
        <v>5.7746478873239436E-2</v>
      </c>
      <c r="L50" s="30">
        <f t="shared" si="6"/>
        <v>6.030150753768844E-2</v>
      </c>
      <c r="M50" s="30">
        <f t="shared" si="6"/>
        <v>2.865329512893983E-2</v>
      </c>
      <c r="N50" s="30">
        <f t="shared" si="6"/>
        <v>9.2009685230024216E-2</v>
      </c>
      <c r="O50" s="30">
        <f t="shared" si="6"/>
        <v>7.7519379844961239E-2</v>
      </c>
      <c r="P50" s="30">
        <f t="shared" si="6"/>
        <v>6.8062827225130892E-2</v>
      </c>
    </row>
    <row r="51" spans="1:16" x14ac:dyDescent="0.2">
      <c r="A51" s="140" t="s">
        <v>65</v>
      </c>
      <c r="B51" s="141" t="s">
        <v>102</v>
      </c>
      <c r="C51" s="220">
        <v>26</v>
      </c>
      <c r="D51" s="220">
        <v>39</v>
      </c>
      <c r="E51" s="220">
        <v>15</v>
      </c>
      <c r="F51" s="220">
        <v>17</v>
      </c>
      <c r="G51" s="220">
        <v>22</v>
      </c>
      <c r="H51" s="220">
        <v>16</v>
      </c>
      <c r="I51" s="277">
        <v>29</v>
      </c>
      <c r="J51" s="30">
        <f t="shared" si="7"/>
        <v>2.9579067121729238E-2</v>
      </c>
      <c r="K51" s="30">
        <f t="shared" si="6"/>
        <v>5.4929577464788736E-2</v>
      </c>
      <c r="L51" s="30">
        <f t="shared" si="6"/>
        <v>3.7688442211055273E-2</v>
      </c>
      <c r="M51" s="30">
        <f t="shared" si="6"/>
        <v>4.8710601719197708E-2</v>
      </c>
      <c r="N51" s="30">
        <f t="shared" si="6"/>
        <v>5.3268765133171914E-2</v>
      </c>
      <c r="O51" s="30">
        <f t="shared" si="6"/>
        <v>4.1343669250645997E-2</v>
      </c>
      <c r="P51" s="30">
        <f t="shared" si="6"/>
        <v>7.5916230366492143E-2</v>
      </c>
    </row>
    <row r="52" spans="1:16" x14ac:dyDescent="0.2">
      <c r="A52" s="140" t="s">
        <v>65</v>
      </c>
      <c r="B52" s="141" t="s">
        <v>103</v>
      </c>
      <c r="C52" s="220">
        <v>42</v>
      </c>
      <c r="D52" s="220">
        <v>37</v>
      </c>
      <c r="E52" s="220">
        <v>17</v>
      </c>
      <c r="F52" s="220">
        <v>16</v>
      </c>
      <c r="G52" s="220">
        <v>25</v>
      </c>
      <c r="H52" s="220">
        <v>14</v>
      </c>
      <c r="I52" s="277">
        <v>24</v>
      </c>
      <c r="J52" s="30">
        <f t="shared" si="7"/>
        <v>4.778156996587031E-2</v>
      </c>
      <c r="K52" s="30">
        <f t="shared" si="6"/>
        <v>5.2112676056338028E-2</v>
      </c>
      <c r="L52" s="30">
        <f t="shared" si="6"/>
        <v>4.2713567839195977E-2</v>
      </c>
      <c r="M52" s="30">
        <f t="shared" si="6"/>
        <v>4.5845272206303724E-2</v>
      </c>
      <c r="N52" s="30">
        <f t="shared" si="6"/>
        <v>6.0532687651331719E-2</v>
      </c>
      <c r="O52" s="30">
        <f t="shared" si="6"/>
        <v>3.6175710594315243E-2</v>
      </c>
      <c r="P52" s="30">
        <f t="shared" si="6"/>
        <v>6.2827225130890049E-2</v>
      </c>
    </row>
    <row r="53" spans="1:16" x14ac:dyDescent="0.2">
      <c r="A53" s="140" t="s">
        <v>65</v>
      </c>
      <c r="B53" s="141" t="s">
        <v>104</v>
      </c>
      <c r="C53" s="220">
        <v>28</v>
      </c>
      <c r="D53" s="220">
        <v>34</v>
      </c>
      <c r="E53" s="220">
        <v>17</v>
      </c>
      <c r="F53" s="220">
        <v>19</v>
      </c>
      <c r="G53" s="220">
        <v>22</v>
      </c>
      <c r="H53" s="220">
        <v>18</v>
      </c>
      <c r="I53" s="277">
        <v>28</v>
      </c>
      <c r="J53" s="30">
        <f t="shared" si="7"/>
        <v>3.1854379977246869E-2</v>
      </c>
      <c r="K53" s="30">
        <f t="shared" si="6"/>
        <v>4.788732394366197E-2</v>
      </c>
      <c r="L53" s="30">
        <f t="shared" si="6"/>
        <v>4.2713567839195977E-2</v>
      </c>
      <c r="M53" s="30">
        <f t="shared" si="6"/>
        <v>5.4441260744985676E-2</v>
      </c>
      <c r="N53" s="30">
        <f t="shared" si="6"/>
        <v>5.3268765133171914E-2</v>
      </c>
      <c r="O53" s="30">
        <f t="shared" si="6"/>
        <v>4.6511627906976744E-2</v>
      </c>
      <c r="P53" s="30">
        <f t="shared" si="6"/>
        <v>7.3298429319371722E-2</v>
      </c>
    </row>
    <row r="54" spans="1:16" x14ac:dyDescent="0.2">
      <c r="A54" s="140" t="s">
        <v>65</v>
      </c>
      <c r="B54" s="141" t="s">
        <v>105</v>
      </c>
      <c r="C54" s="220">
        <v>151</v>
      </c>
      <c r="D54" s="220">
        <v>118</v>
      </c>
      <c r="E54" s="220">
        <v>66</v>
      </c>
      <c r="F54" s="220">
        <v>44</v>
      </c>
      <c r="G54" s="220">
        <v>47</v>
      </c>
      <c r="H54" s="220">
        <v>43</v>
      </c>
      <c r="I54" s="277">
        <v>34</v>
      </c>
      <c r="J54" s="30">
        <f t="shared" si="7"/>
        <v>0.17178612059158135</v>
      </c>
      <c r="K54" s="30">
        <f t="shared" si="6"/>
        <v>0.16619718309859155</v>
      </c>
      <c r="L54" s="30">
        <f t="shared" si="6"/>
        <v>0.16582914572864321</v>
      </c>
      <c r="M54" s="30">
        <f t="shared" si="6"/>
        <v>0.12607449856733524</v>
      </c>
      <c r="N54" s="30">
        <f t="shared" si="6"/>
        <v>0.11380145278450363</v>
      </c>
      <c r="O54" s="30">
        <f>H54/H$59</f>
        <v>0.1111111111111111</v>
      </c>
      <c r="P54" s="30">
        <f t="shared" si="6"/>
        <v>8.9005235602094238E-2</v>
      </c>
    </row>
    <row r="55" spans="1:16" x14ac:dyDescent="0.2">
      <c r="A55" s="140" t="s">
        <v>65</v>
      </c>
      <c r="B55" s="141" t="s">
        <v>106</v>
      </c>
      <c r="C55" s="220">
        <v>31</v>
      </c>
      <c r="D55" s="220">
        <v>36</v>
      </c>
      <c r="E55" s="220">
        <v>15</v>
      </c>
      <c r="F55" s="220">
        <v>16</v>
      </c>
      <c r="G55" s="220">
        <v>11</v>
      </c>
      <c r="H55" s="220">
        <v>23</v>
      </c>
      <c r="I55" s="277">
        <v>13</v>
      </c>
      <c r="J55" s="30">
        <f t="shared" si="7"/>
        <v>3.5267349260523322E-2</v>
      </c>
      <c r="K55" s="30">
        <f t="shared" si="6"/>
        <v>5.0704225352112678E-2</v>
      </c>
      <c r="L55" s="30">
        <f t="shared" si="6"/>
        <v>3.7688442211055273E-2</v>
      </c>
      <c r="M55" s="30">
        <f t="shared" si="6"/>
        <v>4.5845272206303724E-2</v>
      </c>
      <c r="N55" s="30">
        <f t="shared" si="6"/>
        <v>2.6634382566585957E-2</v>
      </c>
      <c r="O55" s="30">
        <f t="shared" si="6"/>
        <v>5.9431524547803614E-2</v>
      </c>
      <c r="P55" s="30">
        <f t="shared" si="6"/>
        <v>3.4031413612565446E-2</v>
      </c>
    </row>
    <row r="56" spans="1:16" x14ac:dyDescent="0.2">
      <c r="A56" s="140" t="s">
        <v>65</v>
      </c>
      <c r="B56" s="141" t="s">
        <v>107</v>
      </c>
      <c r="C56" s="220">
        <v>18</v>
      </c>
      <c r="D56" s="220">
        <v>15</v>
      </c>
      <c r="E56" s="220">
        <v>16</v>
      </c>
      <c r="F56" s="220">
        <v>16</v>
      </c>
      <c r="G56" s="220">
        <v>21</v>
      </c>
      <c r="H56" s="220">
        <v>19</v>
      </c>
      <c r="I56" s="277">
        <v>16</v>
      </c>
      <c r="J56" s="30">
        <f t="shared" si="7"/>
        <v>2.0477815699658702E-2</v>
      </c>
      <c r="K56" s="30">
        <f t="shared" si="6"/>
        <v>2.1126760563380281E-2</v>
      </c>
      <c r="L56" s="30">
        <f t="shared" si="6"/>
        <v>4.0201005025125629E-2</v>
      </c>
      <c r="M56" s="30">
        <f t="shared" si="6"/>
        <v>4.5845272206303724E-2</v>
      </c>
      <c r="N56" s="30">
        <f t="shared" si="6"/>
        <v>5.0847457627118647E-2</v>
      </c>
      <c r="O56" s="30">
        <f t="shared" si="6"/>
        <v>4.909560723514212E-2</v>
      </c>
      <c r="P56" s="30">
        <f t="shared" si="6"/>
        <v>4.1884816753926704E-2</v>
      </c>
    </row>
    <row r="57" spans="1:16" x14ac:dyDescent="0.2">
      <c r="A57" s="140" t="s">
        <v>65</v>
      </c>
      <c r="B57" s="141" t="s">
        <v>108</v>
      </c>
      <c r="C57" s="220">
        <v>20</v>
      </c>
      <c r="D57" s="220">
        <v>20</v>
      </c>
      <c r="E57" s="220">
        <v>11</v>
      </c>
      <c r="F57" s="220">
        <v>7</v>
      </c>
      <c r="G57" s="220">
        <v>14</v>
      </c>
      <c r="H57" s="220">
        <v>13</v>
      </c>
      <c r="I57" s="277">
        <v>11</v>
      </c>
      <c r="J57" s="30">
        <f t="shared" si="7"/>
        <v>2.2753128555176336E-2</v>
      </c>
      <c r="K57" s="30">
        <f t="shared" si="6"/>
        <v>2.8169014084507043E-2</v>
      </c>
      <c r="L57" s="30">
        <f t="shared" si="6"/>
        <v>2.7638190954773871E-2</v>
      </c>
      <c r="M57" s="30">
        <f t="shared" si="6"/>
        <v>2.0057306590257881E-2</v>
      </c>
      <c r="N57" s="30">
        <f t="shared" si="6"/>
        <v>3.3898305084745763E-2</v>
      </c>
      <c r="O57" s="30">
        <f t="shared" si="6"/>
        <v>3.3591731266149873E-2</v>
      </c>
      <c r="P57" s="30">
        <f t="shared" si="6"/>
        <v>2.8795811518324606E-2</v>
      </c>
    </row>
    <row r="58" spans="1:16" x14ac:dyDescent="0.2">
      <c r="A58" s="140" t="s">
        <v>65</v>
      </c>
      <c r="B58" s="141" t="s">
        <v>109</v>
      </c>
      <c r="C58" s="220">
        <v>159</v>
      </c>
      <c r="D58" s="220">
        <v>117</v>
      </c>
      <c r="E58" s="220">
        <v>71</v>
      </c>
      <c r="F58" s="220">
        <v>53</v>
      </c>
      <c r="G58" s="220">
        <v>54</v>
      </c>
      <c r="H58" s="220">
        <v>39</v>
      </c>
      <c r="I58" s="277">
        <v>42</v>
      </c>
      <c r="J58" s="30">
        <f t="shared" si="7"/>
        <v>0.18088737201365188</v>
      </c>
      <c r="K58" s="30">
        <f t="shared" si="6"/>
        <v>0.1647887323943662</v>
      </c>
      <c r="L58" s="30">
        <f t="shared" si="6"/>
        <v>0.17839195979899497</v>
      </c>
      <c r="M58" s="30">
        <f t="shared" si="6"/>
        <v>0.15186246418338109</v>
      </c>
      <c r="N58" s="30">
        <f t="shared" si="6"/>
        <v>0.13075060532687652</v>
      </c>
      <c r="O58" s="30">
        <f t="shared" si="6"/>
        <v>0.10077519379844961</v>
      </c>
      <c r="P58" s="30">
        <f t="shared" si="6"/>
        <v>0.1099476439790576</v>
      </c>
    </row>
    <row r="59" spans="1:16" x14ac:dyDescent="0.2">
      <c r="A59" s="217" t="s">
        <v>65</v>
      </c>
      <c r="B59" s="218" t="s">
        <v>36</v>
      </c>
      <c r="C59" s="219">
        <v>879</v>
      </c>
      <c r="D59" s="219">
        <v>710</v>
      </c>
      <c r="E59" s="219">
        <v>398</v>
      </c>
      <c r="F59" s="219">
        <v>349</v>
      </c>
      <c r="G59" s="219">
        <v>413</v>
      </c>
      <c r="H59" s="219">
        <v>387</v>
      </c>
      <c r="I59" s="279">
        <v>382</v>
      </c>
      <c r="J59" s="115">
        <f t="shared" si="7"/>
        <v>1</v>
      </c>
      <c r="K59" s="115">
        <f t="shared" si="6"/>
        <v>1</v>
      </c>
      <c r="L59" s="115">
        <f t="shared" si="6"/>
        <v>1</v>
      </c>
      <c r="M59" s="115">
        <f t="shared" si="6"/>
        <v>1</v>
      </c>
      <c r="N59" s="115">
        <f t="shared" si="6"/>
        <v>1</v>
      </c>
      <c r="O59" s="115">
        <f t="shared" si="6"/>
        <v>1</v>
      </c>
      <c r="P59" s="115">
        <f t="shared" si="6"/>
        <v>1</v>
      </c>
    </row>
  </sheetData>
  <phoneticPr fontId="19" type="noConversion"/>
  <pageMargins left="0.7" right="0.7" top="0.75" bottom="0.75" header="0.3" footer="0.3"/>
  <ignoredErrors>
    <ignoredError sqref="J32:O45" calculatedColumn="1"/>
  </ignoredErrors>
  <tableParts count="2">
    <tablePart r:id="rId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D61DD3-7503-465D-A804-647684157F28}">
  <sheetPr codeName="Sheet18"/>
  <dimension ref="A1:P23"/>
  <sheetViews>
    <sheetView workbookViewId="0"/>
  </sheetViews>
  <sheetFormatPr defaultColWidth="8.6640625" defaultRowHeight="15" x14ac:dyDescent="0.2"/>
  <cols>
    <col min="1" max="1" width="13.44140625" customWidth="1"/>
    <col min="2" max="2" width="19.33203125" bestFit="1" customWidth="1"/>
  </cols>
  <sheetData>
    <row r="1" spans="1:16" ht="15.75" x14ac:dyDescent="0.2">
      <c r="A1" s="38" t="s">
        <v>278</v>
      </c>
      <c r="B1" s="38"/>
      <c r="C1" s="34"/>
      <c r="D1" s="32"/>
      <c r="E1" s="32"/>
      <c r="F1" s="32"/>
      <c r="G1" s="32"/>
      <c r="H1" s="32"/>
      <c r="I1" s="28"/>
      <c r="J1" s="28"/>
      <c r="K1" s="28"/>
      <c r="L1" s="28"/>
      <c r="M1" s="28"/>
      <c r="N1" s="26"/>
    </row>
    <row r="2" spans="1:16" x14ac:dyDescent="0.2">
      <c r="A2" s="99" t="s">
        <v>121</v>
      </c>
      <c r="B2" s="99"/>
      <c r="C2" s="32"/>
      <c r="D2" s="32"/>
      <c r="E2" s="32"/>
      <c r="F2" s="32"/>
      <c r="G2" s="32"/>
      <c r="H2" s="32"/>
      <c r="I2" s="28"/>
      <c r="J2" s="28"/>
      <c r="K2" s="28"/>
      <c r="L2" s="32"/>
      <c r="M2" s="32"/>
      <c r="N2" s="26"/>
    </row>
    <row r="3" spans="1:16" x14ac:dyDescent="0.2">
      <c r="A3" s="99" t="s">
        <v>277</v>
      </c>
      <c r="B3" s="99"/>
      <c r="C3" s="32"/>
      <c r="D3" s="32"/>
      <c r="E3" s="32"/>
      <c r="F3" s="32"/>
      <c r="G3" s="32"/>
      <c r="H3" s="32"/>
      <c r="I3" s="28"/>
      <c r="J3" s="28"/>
      <c r="K3" s="28"/>
      <c r="L3" s="32"/>
      <c r="M3" s="32"/>
      <c r="N3" s="26"/>
    </row>
    <row r="4" spans="1:16" x14ac:dyDescent="0.2">
      <c r="A4" s="99" t="s">
        <v>280</v>
      </c>
      <c r="B4" s="99"/>
      <c r="C4" s="32"/>
      <c r="D4" s="32"/>
      <c r="E4" s="32"/>
      <c r="F4" s="32"/>
      <c r="G4" s="32"/>
      <c r="H4" s="32"/>
      <c r="I4" s="28"/>
      <c r="J4" s="28"/>
      <c r="K4" s="28"/>
      <c r="L4" s="28"/>
      <c r="M4" s="28"/>
      <c r="N4" s="26"/>
    </row>
    <row r="5" spans="1:16" ht="25.5" x14ac:dyDescent="0.2">
      <c r="A5" s="129" t="s">
        <v>155</v>
      </c>
      <c r="B5" s="129" t="s">
        <v>141</v>
      </c>
      <c r="C5" s="101" t="s">
        <v>132</v>
      </c>
      <c r="D5" s="101" t="s">
        <v>133</v>
      </c>
      <c r="E5" s="101" t="s">
        <v>134</v>
      </c>
      <c r="F5" s="101" t="s">
        <v>135</v>
      </c>
      <c r="G5" s="101" t="s">
        <v>169</v>
      </c>
      <c r="H5" s="101" t="s">
        <v>189</v>
      </c>
      <c r="I5" s="264" t="s">
        <v>242</v>
      </c>
      <c r="J5" s="101" t="s">
        <v>136</v>
      </c>
      <c r="K5" s="101" t="s">
        <v>140</v>
      </c>
      <c r="L5" s="101" t="s">
        <v>138</v>
      </c>
      <c r="M5" s="101" t="s">
        <v>139</v>
      </c>
      <c r="N5" s="101" t="s">
        <v>171</v>
      </c>
      <c r="O5" s="101" t="s">
        <v>193</v>
      </c>
      <c r="P5" s="101" t="s">
        <v>245</v>
      </c>
    </row>
    <row r="6" spans="1:16" x14ac:dyDescent="0.2">
      <c r="A6" s="111" t="s">
        <v>38</v>
      </c>
      <c r="B6" s="111" t="s">
        <v>87</v>
      </c>
      <c r="C6" s="131">
        <v>967</v>
      </c>
      <c r="D6" s="131">
        <v>833</v>
      </c>
      <c r="E6" s="131">
        <v>475</v>
      </c>
      <c r="F6" s="131">
        <v>457</v>
      </c>
      <c r="G6" s="131">
        <v>502</v>
      </c>
      <c r="H6" s="131">
        <v>487</v>
      </c>
      <c r="I6" s="268">
        <v>458</v>
      </c>
      <c r="J6" s="30">
        <f>C6/C$10</f>
        <v>0.75019394879751744</v>
      </c>
      <c r="K6" s="30">
        <f t="shared" ref="K6:P10" si="0">D6/D$10</f>
        <v>0.72942206654991248</v>
      </c>
      <c r="L6" s="30">
        <f t="shared" si="0"/>
        <v>0.61848958333333337</v>
      </c>
      <c r="M6" s="30">
        <f t="shared" si="0"/>
        <v>0.57484276729559747</v>
      </c>
      <c r="N6" s="30">
        <f t="shared" si="0"/>
        <v>0.6933701657458563</v>
      </c>
      <c r="O6" s="30">
        <f t="shared" si="0"/>
        <v>0.62038216560509551</v>
      </c>
      <c r="P6" s="30">
        <f t="shared" si="0"/>
        <v>0.613941018766756</v>
      </c>
    </row>
    <row r="7" spans="1:16" x14ac:dyDescent="0.2">
      <c r="A7" s="111" t="s">
        <v>38</v>
      </c>
      <c r="B7" s="111" t="s">
        <v>88</v>
      </c>
      <c r="C7" s="131">
        <v>202</v>
      </c>
      <c r="D7" s="131">
        <v>168</v>
      </c>
      <c r="E7" s="131">
        <v>118</v>
      </c>
      <c r="F7" s="131">
        <v>132</v>
      </c>
      <c r="G7" s="131">
        <v>100</v>
      </c>
      <c r="H7" s="131">
        <v>106</v>
      </c>
      <c r="I7" s="268">
        <v>96</v>
      </c>
      <c r="J7" s="30">
        <f t="shared" ref="J7:J10" si="1">C7/C$10</f>
        <v>0.15671062839410396</v>
      </c>
      <c r="K7" s="30">
        <f t="shared" si="0"/>
        <v>0.14711033274956217</v>
      </c>
      <c r="L7" s="30">
        <f t="shared" si="0"/>
        <v>0.15364583333333334</v>
      </c>
      <c r="M7" s="30">
        <f t="shared" si="0"/>
        <v>0.16603773584905659</v>
      </c>
      <c r="N7" s="30">
        <f t="shared" si="0"/>
        <v>0.13812154696132597</v>
      </c>
      <c r="O7" s="30">
        <f t="shared" si="0"/>
        <v>0.13503184713375796</v>
      </c>
      <c r="P7" s="30">
        <f t="shared" si="0"/>
        <v>0.12868632707774799</v>
      </c>
    </row>
    <row r="8" spans="1:16" x14ac:dyDescent="0.2">
      <c r="A8" s="111" t="s">
        <v>38</v>
      </c>
      <c r="B8" s="111" t="s">
        <v>89</v>
      </c>
      <c r="C8" s="131">
        <v>99</v>
      </c>
      <c r="D8" s="131">
        <v>106</v>
      </c>
      <c r="E8" s="131">
        <v>79</v>
      </c>
      <c r="F8" s="131">
        <v>106</v>
      </c>
      <c r="G8" s="131">
        <v>56</v>
      </c>
      <c r="H8" s="131">
        <v>81</v>
      </c>
      <c r="I8" s="268">
        <v>100</v>
      </c>
      <c r="J8" s="30">
        <f t="shared" si="1"/>
        <v>7.6803723816912334E-2</v>
      </c>
      <c r="K8" s="30">
        <f t="shared" si="0"/>
        <v>9.2819614711033269E-2</v>
      </c>
      <c r="L8" s="30">
        <f t="shared" si="0"/>
        <v>0.10286458333333333</v>
      </c>
      <c r="M8" s="30">
        <f t="shared" si="0"/>
        <v>0.13333333333333333</v>
      </c>
      <c r="N8" s="30">
        <f t="shared" si="0"/>
        <v>7.7348066298342538E-2</v>
      </c>
      <c r="O8" s="30">
        <f t="shared" si="0"/>
        <v>0.10318471337579618</v>
      </c>
      <c r="P8" s="30">
        <f t="shared" si="0"/>
        <v>0.13404825737265416</v>
      </c>
    </row>
    <row r="9" spans="1:16" x14ac:dyDescent="0.2">
      <c r="A9" s="111" t="s">
        <v>38</v>
      </c>
      <c r="B9" s="111" t="s">
        <v>110</v>
      </c>
      <c r="C9" s="131">
        <v>21</v>
      </c>
      <c r="D9" s="131">
        <v>35</v>
      </c>
      <c r="E9" s="131">
        <v>96</v>
      </c>
      <c r="F9" s="131">
        <v>100</v>
      </c>
      <c r="G9" s="131">
        <v>66</v>
      </c>
      <c r="H9" s="131">
        <v>111</v>
      </c>
      <c r="I9" s="268">
        <v>92</v>
      </c>
      <c r="J9" s="30">
        <f t="shared" si="1"/>
        <v>1.6291698991466253E-2</v>
      </c>
      <c r="K9" s="30">
        <f t="shared" si="0"/>
        <v>3.0647985989492119E-2</v>
      </c>
      <c r="L9" s="30">
        <f t="shared" si="0"/>
        <v>0.125</v>
      </c>
      <c r="M9" s="30">
        <f t="shared" si="0"/>
        <v>0.12578616352201258</v>
      </c>
      <c r="N9" s="30">
        <f t="shared" si="0"/>
        <v>9.1160220994475141E-2</v>
      </c>
      <c r="O9" s="30">
        <f t="shared" si="0"/>
        <v>0.14140127388535031</v>
      </c>
      <c r="P9" s="30">
        <f t="shared" si="0"/>
        <v>0.12332439678284182</v>
      </c>
    </row>
    <row r="10" spans="1:16" x14ac:dyDescent="0.2">
      <c r="A10" s="112" t="s">
        <v>38</v>
      </c>
      <c r="B10" s="112" t="s">
        <v>36</v>
      </c>
      <c r="C10" s="146">
        <v>1289</v>
      </c>
      <c r="D10" s="146">
        <v>1142</v>
      </c>
      <c r="E10" s="146">
        <v>768</v>
      </c>
      <c r="F10" s="146">
        <v>795</v>
      </c>
      <c r="G10" s="146">
        <v>724</v>
      </c>
      <c r="H10" s="146">
        <v>785</v>
      </c>
      <c r="I10" s="272">
        <v>746</v>
      </c>
      <c r="J10" s="115">
        <f t="shared" si="1"/>
        <v>1</v>
      </c>
      <c r="K10" s="115">
        <f t="shared" si="0"/>
        <v>1</v>
      </c>
      <c r="L10" s="115">
        <f t="shared" si="0"/>
        <v>1</v>
      </c>
      <c r="M10" s="115">
        <f t="shared" si="0"/>
        <v>1</v>
      </c>
      <c r="N10" s="115">
        <f t="shared" si="0"/>
        <v>1</v>
      </c>
      <c r="O10" s="115">
        <f t="shared" si="0"/>
        <v>1</v>
      </c>
      <c r="P10" s="115">
        <f t="shared" si="0"/>
        <v>1</v>
      </c>
    </row>
    <row r="11" spans="1:16" x14ac:dyDescent="0.2">
      <c r="A11" s="112" t="s">
        <v>38</v>
      </c>
      <c r="B11" s="119" t="s">
        <v>96</v>
      </c>
      <c r="C11" s="147">
        <v>39</v>
      </c>
      <c r="D11" s="147">
        <v>43</v>
      </c>
      <c r="E11" s="147">
        <v>59</v>
      </c>
      <c r="F11" s="147">
        <v>68</v>
      </c>
      <c r="G11" s="147">
        <v>47</v>
      </c>
      <c r="H11" s="147">
        <v>53</v>
      </c>
      <c r="I11" s="280">
        <v>51</v>
      </c>
      <c r="J11" s="151" t="s">
        <v>37</v>
      </c>
      <c r="K11" s="151" t="s">
        <v>37</v>
      </c>
      <c r="L11" s="151" t="s">
        <v>37</v>
      </c>
      <c r="M11" s="151" t="s">
        <v>37</v>
      </c>
      <c r="N11" s="151" t="s">
        <v>37</v>
      </c>
      <c r="O11" s="151" t="s">
        <v>37</v>
      </c>
      <c r="P11" s="151" t="s">
        <v>37</v>
      </c>
    </row>
    <row r="12" spans="1:16" x14ac:dyDescent="0.2">
      <c r="A12" s="148" t="s">
        <v>39</v>
      </c>
      <c r="B12" s="111" t="s">
        <v>87</v>
      </c>
      <c r="C12" s="131">
        <v>535</v>
      </c>
      <c r="D12" s="131">
        <v>458</v>
      </c>
      <c r="E12" s="131">
        <v>252</v>
      </c>
      <c r="F12" s="131">
        <v>175</v>
      </c>
      <c r="G12" s="131">
        <v>186</v>
      </c>
      <c r="H12" s="131">
        <v>208</v>
      </c>
      <c r="I12" s="268">
        <v>186</v>
      </c>
      <c r="J12" s="116">
        <f>C12/C$16</f>
        <v>0.49263351749539597</v>
      </c>
      <c r="K12" s="116">
        <f t="shared" ref="K12:P16" si="2">D12/D$16</f>
        <v>0.50551876379690952</v>
      </c>
      <c r="L12" s="116">
        <f t="shared" si="2"/>
        <v>0.4781783681214421</v>
      </c>
      <c r="M12" s="116">
        <f t="shared" si="2"/>
        <v>0.4742547425474255</v>
      </c>
      <c r="N12" s="116">
        <f t="shared" si="2"/>
        <v>0.50406504065040647</v>
      </c>
      <c r="O12" s="116">
        <f t="shared" si="2"/>
        <v>0.49523809523809526</v>
      </c>
      <c r="P12" s="116">
        <f t="shared" si="2"/>
        <v>0.52394366197183095</v>
      </c>
    </row>
    <row r="13" spans="1:16" x14ac:dyDescent="0.2">
      <c r="A13" s="111" t="s">
        <v>39</v>
      </c>
      <c r="B13" s="111" t="s">
        <v>88</v>
      </c>
      <c r="C13" s="131">
        <v>320</v>
      </c>
      <c r="D13" s="131">
        <v>263</v>
      </c>
      <c r="E13" s="131">
        <v>142</v>
      </c>
      <c r="F13" s="131">
        <v>96</v>
      </c>
      <c r="G13" s="131">
        <v>112</v>
      </c>
      <c r="H13" s="131">
        <v>132</v>
      </c>
      <c r="I13" s="268">
        <v>100</v>
      </c>
      <c r="J13" s="30">
        <f t="shared" ref="J13:J16" si="3">C13/C$16</f>
        <v>0.29465930018416209</v>
      </c>
      <c r="K13" s="30">
        <f t="shared" si="2"/>
        <v>0.29028697571743928</v>
      </c>
      <c r="L13" s="30">
        <f t="shared" si="2"/>
        <v>0.26944971537001899</v>
      </c>
      <c r="M13" s="30">
        <f t="shared" si="2"/>
        <v>0.26016260162601629</v>
      </c>
      <c r="N13" s="30">
        <f t="shared" si="2"/>
        <v>0.30352303523035229</v>
      </c>
      <c r="O13" s="30">
        <f t="shared" si="2"/>
        <v>0.31428571428571428</v>
      </c>
      <c r="P13" s="30">
        <f t="shared" si="2"/>
        <v>0.28169014084507044</v>
      </c>
    </row>
    <row r="14" spans="1:16" x14ac:dyDescent="0.2">
      <c r="A14" s="111" t="s">
        <v>39</v>
      </c>
      <c r="B14" s="111" t="s">
        <v>89</v>
      </c>
      <c r="C14" s="131">
        <v>129</v>
      </c>
      <c r="D14" s="131">
        <v>112</v>
      </c>
      <c r="E14" s="131">
        <v>70</v>
      </c>
      <c r="F14" s="131">
        <v>66</v>
      </c>
      <c r="G14" s="131">
        <v>43</v>
      </c>
      <c r="H14" s="131">
        <v>50</v>
      </c>
      <c r="I14" s="268">
        <v>41</v>
      </c>
      <c r="J14" s="30">
        <f t="shared" si="3"/>
        <v>0.11878453038674033</v>
      </c>
      <c r="K14" s="30">
        <f t="shared" si="2"/>
        <v>0.12362030905077263</v>
      </c>
      <c r="L14" s="30">
        <f t="shared" si="2"/>
        <v>0.13282732447817835</v>
      </c>
      <c r="M14" s="30">
        <f t="shared" si="2"/>
        <v>0.17886178861788618</v>
      </c>
      <c r="N14" s="30">
        <f t="shared" si="2"/>
        <v>0.11653116531165311</v>
      </c>
      <c r="O14" s="30">
        <f t="shared" si="2"/>
        <v>0.11904761904761904</v>
      </c>
      <c r="P14" s="30">
        <f t="shared" si="2"/>
        <v>0.11549295774647887</v>
      </c>
    </row>
    <row r="15" spans="1:16" x14ac:dyDescent="0.2">
      <c r="A15" s="111" t="s">
        <v>39</v>
      </c>
      <c r="B15" s="111" t="s">
        <v>110</v>
      </c>
      <c r="C15" s="131">
        <v>102</v>
      </c>
      <c r="D15" s="131">
        <v>73</v>
      </c>
      <c r="E15" s="131">
        <v>63</v>
      </c>
      <c r="F15" s="131">
        <v>32</v>
      </c>
      <c r="G15" s="131">
        <v>28</v>
      </c>
      <c r="H15" s="131">
        <v>30</v>
      </c>
      <c r="I15" s="268">
        <v>28</v>
      </c>
      <c r="J15" s="30">
        <f t="shared" si="3"/>
        <v>9.3922651933701654E-2</v>
      </c>
      <c r="K15" s="30">
        <f t="shared" si="2"/>
        <v>8.0573951434878582E-2</v>
      </c>
      <c r="L15" s="30">
        <f t="shared" si="2"/>
        <v>0.11954459203036052</v>
      </c>
      <c r="M15" s="30">
        <f t="shared" si="2"/>
        <v>8.6720867208672087E-2</v>
      </c>
      <c r="N15" s="30">
        <f t="shared" si="2"/>
        <v>7.5880758807588072E-2</v>
      </c>
      <c r="O15" s="30">
        <f t="shared" si="2"/>
        <v>7.1428571428571425E-2</v>
      </c>
      <c r="P15" s="30">
        <f t="shared" si="2"/>
        <v>7.8873239436619724E-2</v>
      </c>
    </row>
    <row r="16" spans="1:16" x14ac:dyDescent="0.2">
      <c r="A16" s="112" t="s">
        <v>39</v>
      </c>
      <c r="B16" s="112" t="s">
        <v>36</v>
      </c>
      <c r="C16" s="146">
        <v>1086</v>
      </c>
      <c r="D16" s="146">
        <v>906</v>
      </c>
      <c r="E16" s="146">
        <v>527</v>
      </c>
      <c r="F16" s="146">
        <v>369</v>
      </c>
      <c r="G16" s="146">
        <v>369</v>
      </c>
      <c r="H16" s="146">
        <v>420</v>
      </c>
      <c r="I16" s="272">
        <v>355</v>
      </c>
      <c r="J16" s="115">
        <f t="shared" si="3"/>
        <v>1</v>
      </c>
      <c r="K16" s="115">
        <f t="shared" si="2"/>
        <v>1</v>
      </c>
      <c r="L16" s="115">
        <f t="shared" si="2"/>
        <v>1</v>
      </c>
      <c r="M16" s="115">
        <f t="shared" si="2"/>
        <v>1</v>
      </c>
      <c r="N16" s="115">
        <f t="shared" si="2"/>
        <v>1</v>
      </c>
      <c r="O16" s="115">
        <f t="shared" si="2"/>
        <v>1</v>
      </c>
      <c r="P16" s="115">
        <f t="shared" si="2"/>
        <v>1</v>
      </c>
    </row>
    <row r="17" spans="1:16" x14ac:dyDescent="0.2">
      <c r="A17" s="112" t="s">
        <v>39</v>
      </c>
      <c r="B17" s="119" t="s">
        <v>96</v>
      </c>
      <c r="C17" s="147">
        <v>92</v>
      </c>
      <c r="D17" s="147">
        <v>91</v>
      </c>
      <c r="E17" s="147">
        <v>97</v>
      </c>
      <c r="F17" s="147">
        <v>115</v>
      </c>
      <c r="G17" s="147">
        <v>91</v>
      </c>
      <c r="H17" s="147">
        <v>92</v>
      </c>
      <c r="I17" s="280">
        <v>91</v>
      </c>
      <c r="J17" s="151" t="s">
        <v>37</v>
      </c>
      <c r="K17" s="151" t="s">
        <v>37</v>
      </c>
      <c r="L17" s="151" t="s">
        <v>37</v>
      </c>
      <c r="M17" s="151" t="s">
        <v>37</v>
      </c>
      <c r="N17" s="151" t="s">
        <v>37</v>
      </c>
      <c r="O17" s="151" t="s">
        <v>37</v>
      </c>
      <c r="P17" s="151" t="s">
        <v>37</v>
      </c>
    </row>
    <row r="18" spans="1:16" x14ac:dyDescent="0.2">
      <c r="A18" s="148" t="s">
        <v>272</v>
      </c>
      <c r="B18" s="111" t="s">
        <v>87</v>
      </c>
      <c r="C18" s="131">
        <v>65</v>
      </c>
      <c r="D18" s="131">
        <v>70</v>
      </c>
      <c r="E18" s="131">
        <v>53</v>
      </c>
      <c r="F18" s="131">
        <v>77</v>
      </c>
      <c r="G18" s="131">
        <v>40</v>
      </c>
      <c r="H18" s="131">
        <v>45</v>
      </c>
      <c r="I18" s="268">
        <v>56</v>
      </c>
      <c r="J18" s="116">
        <f>C18/C$22</f>
        <v>0.18786127167630057</v>
      </c>
      <c r="K18" s="116">
        <f t="shared" ref="K18:P22" si="4">D18/D$22</f>
        <v>0.18666666666666668</v>
      </c>
      <c r="L18" s="116">
        <f t="shared" si="4"/>
        <v>0.2</v>
      </c>
      <c r="M18" s="116">
        <f t="shared" si="4"/>
        <v>0.31818181818181818</v>
      </c>
      <c r="N18" s="116">
        <f t="shared" si="4"/>
        <v>0.22857142857142856</v>
      </c>
      <c r="O18" s="116">
        <f t="shared" si="4"/>
        <v>0.20270270270270271</v>
      </c>
      <c r="P18" s="116">
        <f t="shared" si="4"/>
        <v>0.22134387351778656</v>
      </c>
    </row>
    <row r="19" spans="1:16" x14ac:dyDescent="0.2">
      <c r="A19" s="111" t="s">
        <v>272</v>
      </c>
      <c r="B19" s="111" t="s">
        <v>88</v>
      </c>
      <c r="C19" s="131">
        <v>58</v>
      </c>
      <c r="D19" s="131">
        <v>57</v>
      </c>
      <c r="E19" s="131">
        <v>37</v>
      </c>
      <c r="F19" s="131">
        <v>41</v>
      </c>
      <c r="G19" s="131">
        <v>24</v>
      </c>
      <c r="H19" s="131">
        <v>40</v>
      </c>
      <c r="I19" s="268">
        <v>49</v>
      </c>
      <c r="J19" s="30">
        <f t="shared" ref="J19:J22" si="5">C19/C$22</f>
        <v>0.16763005780346821</v>
      </c>
      <c r="K19" s="30">
        <f t="shared" si="4"/>
        <v>0.152</v>
      </c>
      <c r="L19" s="30">
        <f t="shared" si="4"/>
        <v>0.13962264150943396</v>
      </c>
      <c r="M19" s="30">
        <f t="shared" si="4"/>
        <v>0.16942148760330578</v>
      </c>
      <c r="N19" s="30">
        <f t="shared" si="4"/>
        <v>0.13714285714285715</v>
      </c>
      <c r="O19" s="30">
        <f t="shared" si="4"/>
        <v>0.18018018018018017</v>
      </c>
      <c r="P19" s="30">
        <f t="shared" si="4"/>
        <v>0.19367588932806323</v>
      </c>
    </row>
    <row r="20" spans="1:16" x14ac:dyDescent="0.2">
      <c r="A20" s="111" t="s">
        <v>272</v>
      </c>
      <c r="B20" s="111" t="s">
        <v>89</v>
      </c>
      <c r="C20" s="131">
        <v>44</v>
      </c>
      <c r="D20" s="131">
        <v>48</v>
      </c>
      <c r="E20" s="131">
        <v>33</v>
      </c>
      <c r="F20" s="131">
        <v>30</v>
      </c>
      <c r="G20" s="131">
        <v>27</v>
      </c>
      <c r="H20" s="131">
        <v>28</v>
      </c>
      <c r="I20" s="268">
        <v>35</v>
      </c>
      <c r="J20" s="30">
        <f t="shared" si="5"/>
        <v>0.12716763005780346</v>
      </c>
      <c r="K20" s="30">
        <f t="shared" si="4"/>
        <v>0.128</v>
      </c>
      <c r="L20" s="30">
        <f t="shared" si="4"/>
        <v>0.12452830188679245</v>
      </c>
      <c r="M20" s="30">
        <f t="shared" si="4"/>
        <v>0.12396694214876033</v>
      </c>
      <c r="N20" s="30">
        <f t="shared" si="4"/>
        <v>0.15428571428571428</v>
      </c>
      <c r="O20" s="30">
        <f t="shared" si="4"/>
        <v>0.12612612612612611</v>
      </c>
      <c r="P20" s="30">
        <f t="shared" si="4"/>
        <v>0.13833992094861661</v>
      </c>
    </row>
    <row r="21" spans="1:16" x14ac:dyDescent="0.2">
      <c r="A21" s="111" t="s">
        <v>272</v>
      </c>
      <c r="B21" s="111" t="s">
        <v>90</v>
      </c>
      <c r="C21" s="131">
        <v>179</v>
      </c>
      <c r="D21" s="131">
        <v>200</v>
      </c>
      <c r="E21" s="131">
        <v>142</v>
      </c>
      <c r="F21" s="131">
        <v>94</v>
      </c>
      <c r="G21" s="131">
        <v>84</v>
      </c>
      <c r="H21" s="131">
        <v>109</v>
      </c>
      <c r="I21" s="268">
        <v>113</v>
      </c>
      <c r="J21" s="30">
        <f t="shared" si="5"/>
        <v>0.51734104046242779</v>
      </c>
      <c r="K21" s="30">
        <f t="shared" si="4"/>
        <v>0.53333333333333333</v>
      </c>
      <c r="L21" s="30">
        <f t="shared" si="4"/>
        <v>0.53584905660377358</v>
      </c>
      <c r="M21" s="30">
        <f t="shared" si="4"/>
        <v>0.38842975206611569</v>
      </c>
      <c r="N21" s="30">
        <f t="shared" si="4"/>
        <v>0.48</v>
      </c>
      <c r="O21" s="30">
        <f t="shared" si="4"/>
        <v>0.49099099099099097</v>
      </c>
      <c r="P21" s="30">
        <f t="shared" si="4"/>
        <v>0.44664031620553357</v>
      </c>
    </row>
    <row r="22" spans="1:16" x14ac:dyDescent="0.2">
      <c r="A22" s="112" t="s">
        <v>272</v>
      </c>
      <c r="B22" s="112" t="s">
        <v>36</v>
      </c>
      <c r="C22" s="146">
        <v>346</v>
      </c>
      <c r="D22" s="146">
        <v>375</v>
      </c>
      <c r="E22" s="146">
        <v>265</v>
      </c>
      <c r="F22" s="146">
        <v>242</v>
      </c>
      <c r="G22" s="146">
        <v>175</v>
      </c>
      <c r="H22" s="146">
        <v>222</v>
      </c>
      <c r="I22" s="272">
        <v>253</v>
      </c>
      <c r="J22" s="115">
        <f t="shared" si="5"/>
        <v>1</v>
      </c>
      <c r="K22" s="115">
        <f t="shared" si="4"/>
        <v>1</v>
      </c>
      <c r="L22" s="115">
        <f t="shared" si="4"/>
        <v>1</v>
      </c>
      <c r="M22" s="115">
        <f t="shared" si="4"/>
        <v>1</v>
      </c>
      <c r="N22" s="115">
        <f t="shared" si="4"/>
        <v>1</v>
      </c>
      <c r="O22" s="115">
        <f t="shared" si="4"/>
        <v>1</v>
      </c>
      <c r="P22" s="115">
        <f t="shared" si="4"/>
        <v>1</v>
      </c>
    </row>
    <row r="23" spans="1:16" x14ac:dyDescent="0.2">
      <c r="A23" s="119" t="s">
        <v>272</v>
      </c>
      <c r="B23" s="119" t="s">
        <v>96</v>
      </c>
      <c r="C23" s="147">
        <v>290.5</v>
      </c>
      <c r="D23" s="147">
        <v>294</v>
      </c>
      <c r="E23" s="147">
        <v>301</v>
      </c>
      <c r="F23" s="147">
        <v>192.5</v>
      </c>
      <c r="G23" s="147">
        <v>258</v>
      </c>
      <c r="H23" s="147">
        <v>263.5</v>
      </c>
      <c r="I23" s="280">
        <v>243</v>
      </c>
      <c r="J23" s="149" t="s">
        <v>37</v>
      </c>
      <c r="K23" s="150" t="s">
        <v>37</v>
      </c>
      <c r="L23" s="150" t="s">
        <v>37</v>
      </c>
      <c r="M23" s="150" t="s">
        <v>37</v>
      </c>
      <c r="N23" s="150" t="s">
        <v>37</v>
      </c>
      <c r="O23" s="150" t="s">
        <v>37</v>
      </c>
      <c r="P23" s="150" t="s">
        <v>37</v>
      </c>
    </row>
  </sheetData>
  <phoneticPr fontId="19" type="noConversion"/>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EF78F0-739E-4185-8A70-7C37973DEF52}">
  <sheetPr codeName="Sheet2"/>
  <dimension ref="A1:B23"/>
  <sheetViews>
    <sheetView workbookViewId="0"/>
  </sheetViews>
  <sheetFormatPr defaultColWidth="8.6640625" defaultRowHeight="15" x14ac:dyDescent="0.2"/>
  <cols>
    <col min="1" max="1" width="12.44140625" bestFit="1" customWidth="1"/>
    <col min="2" max="2" width="151.6640625" customWidth="1"/>
  </cols>
  <sheetData>
    <row r="1" spans="1:2" ht="15.75" x14ac:dyDescent="0.2">
      <c r="A1" s="224" t="s">
        <v>17</v>
      </c>
      <c r="B1" s="4"/>
    </row>
    <row r="2" spans="1:2" x14ac:dyDescent="0.2">
      <c r="A2" s="225" t="s">
        <v>349</v>
      </c>
      <c r="B2" s="4"/>
    </row>
    <row r="3" spans="1:2" ht="15.75" x14ac:dyDescent="0.25">
      <c r="A3" s="226" t="s">
        <v>207</v>
      </c>
      <c r="B3" s="226" t="s">
        <v>208</v>
      </c>
    </row>
    <row r="4" spans="1:2" ht="15" customHeight="1" x14ac:dyDescent="0.2">
      <c r="A4" s="208">
        <v>1</v>
      </c>
      <c r="B4" s="41" t="s">
        <v>355</v>
      </c>
    </row>
    <row r="5" spans="1:2" ht="25.5" x14ac:dyDescent="0.2">
      <c r="A5" s="208">
        <v>2</v>
      </c>
      <c r="B5" s="41" t="s">
        <v>222</v>
      </c>
    </row>
    <row r="6" spans="1:2" ht="15" customHeight="1" x14ac:dyDescent="0.2">
      <c r="A6" s="208">
        <v>3</v>
      </c>
      <c r="B6" s="41" t="s">
        <v>209</v>
      </c>
    </row>
    <row r="7" spans="1:2" ht="25.5" x14ac:dyDescent="0.2">
      <c r="A7" s="208">
        <v>4</v>
      </c>
      <c r="B7" s="41" t="s">
        <v>210</v>
      </c>
    </row>
    <row r="8" spans="1:2" x14ac:dyDescent="0.2">
      <c r="A8" s="208">
        <v>5</v>
      </c>
      <c r="B8" s="41" t="s">
        <v>211</v>
      </c>
    </row>
    <row r="9" spans="1:2" x14ac:dyDescent="0.2">
      <c r="A9" s="208">
        <v>6</v>
      </c>
      <c r="B9" s="41" t="s">
        <v>351</v>
      </c>
    </row>
    <row r="10" spans="1:2" x14ac:dyDescent="0.2">
      <c r="A10" s="208">
        <v>7</v>
      </c>
      <c r="B10" s="41" t="s">
        <v>344</v>
      </c>
    </row>
    <row r="11" spans="1:2" x14ac:dyDescent="0.2">
      <c r="A11" s="208">
        <v>8</v>
      </c>
      <c r="B11" s="41" t="s">
        <v>345</v>
      </c>
    </row>
    <row r="12" spans="1:2" x14ac:dyDescent="0.2">
      <c r="A12" s="208">
        <v>9</v>
      </c>
      <c r="B12" s="41" t="s">
        <v>288</v>
      </c>
    </row>
    <row r="13" spans="1:2" x14ac:dyDescent="0.2">
      <c r="A13" s="208">
        <v>10</v>
      </c>
      <c r="B13" s="41" t="s">
        <v>221</v>
      </c>
    </row>
    <row r="14" spans="1:2" x14ac:dyDescent="0.2">
      <c r="A14" s="208">
        <v>11</v>
      </c>
      <c r="B14" s="41" t="s">
        <v>212</v>
      </c>
    </row>
    <row r="15" spans="1:2" x14ac:dyDescent="0.2">
      <c r="A15" s="208">
        <v>12</v>
      </c>
      <c r="B15" s="41" t="s">
        <v>220</v>
      </c>
    </row>
    <row r="16" spans="1:2" x14ac:dyDescent="0.2">
      <c r="A16" s="208">
        <v>13</v>
      </c>
      <c r="B16" s="41" t="s">
        <v>348</v>
      </c>
    </row>
    <row r="17" spans="1:2" x14ac:dyDescent="0.2">
      <c r="A17" s="208">
        <v>14</v>
      </c>
      <c r="B17" s="41" t="s">
        <v>213</v>
      </c>
    </row>
    <row r="18" spans="1:2" x14ac:dyDescent="0.2">
      <c r="A18" s="208">
        <v>15</v>
      </c>
      <c r="B18" s="41" t="s">
        <v>214</v>
      </c>
    </row>
    <row r="19" spans="1:2" x14ac:dyDescent="0.2">
      <c r="A19" s="208">
        <v>16</v>
      </c>
      <c r="B19" s="41" t="s">
        <v>215</v>
      </c>
    </row>
    <row r="20" spans="1:2" x14ac:dyDescent="0.2">
      <c r="A20" s="208">
        <v>17</v>
      </c>
      <c r="B20" s="209" t="s">
        <v>216</v>
      </c>
    </row>
    <row r="21" spans="1:2" ht="20.25" customHeight="1" x14ac:dyDescent="0.2">
      <c r="A21" s="208">
        <v>18</v>
      </c>
      <c r="B21" s="209" t="s">
        <v>217</v>
      </c>
    </row>
    <row r="22" spans="1:2" ht="25.5" x14ac:dyDescent="0.2">
      <c r="A22" s="208">
        <v>19</v>
      </c>
      <c r="B22" s="209" t="s">
        <v>218</v>
      </c>
    </row>
    <row r="23" spans="1:2" x14ac:dyDescent="0.2">
      <c r="A23" s="208">
        <v>20</v>
      </c>
      <c r="B23" s="209" t="s">
        <v>219</v>
      </c>
    </row>
  </sheetData>
  <pageMargins left="0.7" right="0.7" top="0.75" bottom="0.75" header="0.3" footer="0.3"/>
  <pageSetup paperSize="9" orientation="portrait" r:id="rId1"/>
  <tableParts count="1">
    <tablePart r:id="rId2"/>
  </tablePar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EFFF81-E487-4DED-A648-F2CC25D95F0F}">
  <sheetPr codeName="Sheet19"/>
  <dimension ref="A1:P45"/>
  <sheetViews>
    <sheetView workbookViewId="0">
      <pane xSplit="2" ySplit="5" topLeftCell="C6" activePane="bottomRight" state="frozen"/>
      <selection pane="topRight" activeCell="C1" sqref="C1"/>
      <selection pane="bottomLeft" activeCell="A6" sqref="A6"/>
      <selection pane="bottomRight" activeCell="C6" sqref="C6"/>
    </sheetView>
  </sheetViews>
  <sheetFormatPr defaultColWidth="8.6640625" defaultRowHeight="15" x14ac:dyDescent="0.2"/>
  <cols>
    <col min="1" max="1" width="29.33203125" bestFit="1" customWidth="1"/>
    <col min="2" max="2" width="21.6640625" bestFit="1" customWidth="1"/>
    <col min="10" max="10" width="9.33203125" customWidth="1"/>
    <col min="13" max="14" width="9.33203125" customWidth="1"/>
  </cols>
  <sheetData>
    <row r="1" spans="1:16" ht="15.75" x14ac:dyDescent="0.2">
      <c r="A1" s="38" t="s">
        <v>300</v>
      </c>
      <c r="B1" s="38"/>
      <c r="C1" s="28"/>
      <c r="D1" s="28"/>
      <c r="E1" s="28"/>
      <c r="F1" s="28"/>
      <c r="G1" s="28"/>
      <c r="H1" s="28"/>
      <c r="I1" s="28"/>
      <c r="J1" s="28"/>
      <c r="K1" s="28"/>
      <c r="L1" s="28"/>
      <c r="M1" s="28"/>
      <c r="N1" s="28"/>
    </row>
    <row r="2" spans="1:16" x14ac:dyDescent="0.2">
      <c r="A2" s="99" t="s">
        <v>121</v>
      </c>
      <c r="B2" s="99"/>
      <c r="C2" s="28"/>
      <c r="D2" s="28"/>
      <c r="E2" s="28"/>
      <c r="F2" s="28"/>
      <c r="G2" s="28"/>
      <c r="H2" s="28"/>
      <c r="I2" s="28"/>
      <c r="J2" s="28"/>
      <c r="K2" s="28"/>
      <c r="L2" s="32"/>
      <c r="M2" s="32"/>
      <c r="N2" s="28"/>
    </row>
    <row r="3" spans="1:16" x14ac:dyDescent="0.2">
      <c r="A3" s="99" t="s">
        <v>277</v>
      </c>
      <c r="B3" s="99"/>
      <c r="C3" s="28"/>
      <c r="D3" s="28"/>
      <c r="E3" s="151"/>
      <c r="F3" s="151"/>
      <c r="G3" s="151"/>
      <c r="H3" s="151"/>
      <c r="I3" s="151"/>
      <c r="J3" s="151"/>
      <c r="K3" s="151"/>
      <c r="L3" s="151"/>
      <c r="M3" s="151"/>
      <c r="N3" s="151"/>
    </row>
    <row r="4" spans="1:16" x14ac:dyDescent="0.2">
      <c r="A4" s="99" t="s">
        <v>280</v>
      </c>
      <c r="B4" s="99"/>
      <c r="C4" s="28"/>
      <c r="D4" s="28"/>
      <c r="E4" s="151"/>
      <c r="F4" s="151"/>
      <c r="G4" s="151"/>
      <c r="H4" s="151"/>
      <c r="I4" s="151"/>
      <c r="J4" s="151"/>
      <c r="K4" s="151"/>
      <c r="L4" s="151"/>
      <c r="M4" s="151"/>
      <c r="N4" s="151"/>
    </row>
    <row r="5" spans="1:16" ht="25.5" x14ac:dyDescent="0.2">
      <c r="A5" s="223" t="s">
        <v>350</v>
      </c>
      <c r="B5" s="223" t="s">
        <v>141</v>
      </c>
      <c r="C5" s="216" t="s">
        <v>132</v>
      </c>
      <c r="D5" s="216" t="s">
        <v>133</v>
      </c>
      <c r="E5" s="216" t="s">
        <v>134</v>
      </c>
      <c r="F5" s="216" t="s">
        <v>135</v>
      </c>
      <c r="G5" s="216" t="s">
        <v>169</v>
      </c>
      <c r="H5" s="216" t="s">
        <v>189</v>
      </c>
      <c r="I5" s="281" t="s">
        <v>242</v>
      </c>
      <c r="J5" s="216" t="s">
        <v>136</v>
      </c>
      <c r="K5" s="216" t="s">
        <v>140</v>
      </c>
      <c r="L5" s="216" t="s">
        <v>138</v>
      </c>
      <c r="M5" s="216" t="s">
        <v>139</v>
      </c>
      <c r="N5" s="216" t="s">
        <v>171</v>
      </c>
      <c r="O5" s="216" t="s">
        <v>193</v>
      </c>
      <c r="P5" s="216" t="s">
        <v>245</v>
      </c>
    </row>
    <row r="6" spans="1:16" x14ac:dyDescent="0.2">
      <c r="A6" s="111" t="s">
        <v>178</v>
      </c>
      <c r="B6" s="111" t="s">
        <v>87</v>
      </c>
      <c r="C6" s="109">
        <v>454</v>
      </c>
      <c r="D6" s="109">
        <v>413</v>
      </c>
      <c r="E6" s="109">
        <v>245</v>
      </c>
      <c r="F6" s="109">
        <v>232</v>
      </c>
      <c r="G6" s="109">
        <v>219</v>
      </c>
      <c r="H6" s="109">
        <v>230</v>
      </c>
      <c r="I6" s="259">
        <v>216</v>
      </c>
      <c r="J6" s="30">
        <f>C6/C$10</f>
        <v>0.71271585557299844</v>
      </c>
      <c r="K6" s="30">
        <f t="shared" ref="K6:P10" si="0">D6/D$10</f>
        <v>0.69881556683587143</v>
      </c>
      <c r="L6" s="30">
        <f t="shared" si="0"/>
        <v>0.58752997601918466</v>
      </c>
      <c r="M6" s="30">
        <f t="shared" si="0"/>
        <v>0.54846335697399529</v>
      </c>
      <c r="N6" s="30">
        <f t="shared" si="0"/>
        <v>0.63294797687861271</v>
      </c>
      <c r="O6" s="30">
        <f t="shared" si="0"/>
        <v>0.56650246305418717</v>
      </c>
      <c r="P6" s="30">
        <f t="shared" si="0"/>
        <v>0.55526992287917742</v>
      </c>
    </row>
    <row r="7" spans="1:16" x14ac:dyDescent="0.2">
      <c r="A7" s="111" t="s">
        <v>178</v>
      </c>
      <c r="B7" s="111" t="s">
        <v>88</v>
      </c>
      <c r="C7" s="109">
        <v>108</v>
      </c>
      <c r="D7" s="109">
        <v>92</v>
      </c>
      <c r="E7" s="109">
        <v>69</v>
      </c>
      <c r="F7" s="109">
        <v>75</v>
      </c>
      <c r="G7" s="109">
        <v>54</v>
      </c>
      <c r="H7" s="109">
        <v>56</v>
      </c>
      <c r="I7" s="259">
        <v>51</v>
      </c>
      <c r="J7" s="30">
        <f t="shared" ref="J7:J10" si="1">C7/C$10</f>
        <v>0.1695447409733124</v>
      </c>
      <c r="K7" s="30">
        <f t="shared" si="0"/>
        <v>0.155668358714044</v>
      </c>
      <c r="L7" s="30">
        <f t="shared" si="0"/>
        <v>0.16546762589928057</v>
      </c>
      <c r="M7" s="30">
        <f>F7/F$10</f>
        <v>0.1773049645390071</v>
      </c>
      <c r="N7" s="30">
        <f t="shared" si="0"/>
        <v>0.15606936416184972</v>
      </c>
      <c r="O7" s="30">
        <f>H7/H$10</f>
        <v>0.13793103448275862</v>
      </c>
      <c r="P7" s="30">
        <f t="shared" si="0"/>
        <v>0.13110539845758354</v>
      </c>
    </row>
    <row r="8" spans="1:16" x14ac:dyDescent="0.2">
      <c r="A8" s="111" t="s">
        <v>178</v>
      </c>
      <c r="B8" s="111" t="s">
        <v>89</v>
      </c>
      <c r="C8" s="109">
        <v>63</v>
      </c>
      <c r="D8" s="109">
        <v>62</v>
      </c>
      <c r="E8" s="109">
        <v>43</v>
      </c>
      <c r="F8" s="109">
        <v>56</v>
      </c>
      <c r="G8" s="109">
        <v>28</v>
      </c>
      <c r="H8" s="109">
        <v>47</v>
      </c>
      <c r="I8" s="259">
        <v>60</v>
      </c>
      <c r="J8" s="30">
        <f t="shared" si="1"/>
        <v>9.8901098901098897E-2</v>
      </c>
      <c r="K8" s="30">
        <f t="shared" si="0"/>
        <v>0.10490693739424704</v>
      </c>
      <c r="L8" s="30">
        <f t="shared" si="0"/>
        <v>0.10311750599520383</v>
      </c>
      <c r="M8" s="30">
        <f t="shared" si="0"/>
        <v>0.13238770685579196</v>
      </c>
      <c r="N8" s="30">
        <f t="shared" si="0"/>
        <v>8.0924855491329481E-2</v>
      </c>
      <c r="O8" s="30">
        <f t="shared" si="0"/>
        <v>0.11576354679802955</v>
      </c>
      <c r="P8" s="30">
        <f t="shared" si="0"/>
        <v>0.15424164524421594</v>
      </c>
    </row>
    <row r="9" spans="1:16" x14ac:dyDescent="0.2">
      <c r="A9" s="111" t="s">
        <v>178</v>
      </c>
      <c r="B9" s="111" t="s">
        <v>110</v>
      </c>
      <c r="C9" s="109">
        <v>12</v>
      </c>
      <c r="D9" s="109">
        <v>24</v>
      </c>
      <c r="E9" s="109">
        <v>60</v>
      </c>
      <c r="F9" s="109">
        <v>60</v>
      </c>
      <c r="G9" s="109">
        <v>45</v>
      </c>
      <c r="H9" s="109">
        <v>73</v>
      </c>
      <c r="I9" s="259">
        <v>62</v>
      </c>
      <c r="J9" s="30">
        <f t="shared" si="1"/>
        <v>1.8838304552590265E-2</v>
      </c>
      <c r="K9" s="30">
        <f t="shared" si="0"/>
        <v>4.060913705583756E-2</v>
      </c>
      <c r="L9" s="30">
        <f t="shared" si="0"/>
        <v>0.14388489208633093</v>
      </c>
      <c r="M9" s="30">
        <f t="shared" si="0"/>
        <v>0.14184397163120568</v>
      </c>
      <c r="N9" s="30">
        <f t="shared" si="0"/>
        <v>0.13005780346820808</v>
      </c>
      <c r="O9" s="30">
        <f t="shared" si="0"/>
        <v>0.17980295566502463</v>
      </c>
      <c r="P9" s="30">
        <f t="shared" si="0"/>
        <v>0.15938303341902313</v>
      </c>
    </row>
    <row r="10" spans="1:16" x14ac:dyDescent="0.2">
      <c r="A10" s="105" t="s">
        <v>178</v>
      </c>
      <c r="B10" s="105" t="s">
        <v>36</v>
      </c>
      <c r="C10" s="107">
        <v>637</v>
      </c>
      <c r="D10" s="107">
        <v>591</v>
      </c>
      <c r="E10" s="107">
        <v>417</v>
      </c>
      <c r="F10" s="107">
        <v>423</v>
      </c>
      <c r="G10" s="107">
        <v>346</v>
      </c>
      <c r="H10" s="107">
        <v>406</v>
      </c>
      <c r="I10" s="260">
        <v>389</v>
      </c>
      <c r="J10" s="115">
        <f t="shared" si="1"/>
        <v>1</v>
      </c>
      <c r="K10" s="115">
        <f t="shared" si="0"/>
        <v>1</v>
      </c>
      <c r="L10" s="115">
        <f t="shared" si="0"/>
        <v>1</v>
      </c>
      <c r="M10" s="115">
        <f t="shared" si="0"/>
        <v>1</v>
      </c>
      <c r="N10" s="115">
        <f t="shared" si="0"/>
        <v>1</v>
      </c>
      <c r="O10" s="115">
        <f t="shared" si="0"/>
        <v>1</v>
      </c>
      <c r="P10" s="115">
        <f t="shared" si="0"/>
        <v>1</v>
      </c>
    </row>
    <row r="11" spans="1:16" x14ac:dyDescent="0.2">
      <c r="A11" s="112" t="s">
        <v>178</v>
      </c>
      <c r="B11" s="105" t="s">
        <v>96</v>
      </c>
      <c r="C11" s="107">
        <v>46</v>
      </c>
      <c r="D11" s="107">
        <v>46</v>
      </c>
      <c r="E11" s="107">
        <v>62.5</v>
      </c>
      <c r="F11" s="107">
        <v>74</v>
      </c>
      <c r="G11" s="107">
        <v>51</v>
      </c>
      <c r="H11" s="107">
        <v>61.5</v>
      </c>
      <c r="I11" s="260">
        <v>74</v>
      </c>
      <c r="J11" s="115" t="s">
        <v>37</v>
      </c>
      <c r="K11" s="115" t="s">
        <v>37</v>
      </c>
      <c r="L11" s="115" t="s">
        <v>37</v>
      </c>
      <c r="M11" s="115" t="s">
        <v>37</v>
      </c>
      <c r="N11" s="115" t="s">
        <v>37</v>
      </c>
      <c r="O11" s="115" t="s">
        <v>37</v>
      </c>
      <c r="P11" s="115" t="s">
        <v>37</v>
      </c>
    </row>
    <row r="12" spans="1:16" x14ac:dyDescent="0.2">
      <c r="A12" s="148" t="s">
        <v>179</v>
      </c>
      <c r="B12" s="148" t="s">
        <v>87</v>
      </c>
      <c r="C12" s="110">
        <v>189</v>
      </c>
      <c r="D12" s="110">
        <v>193</v>
      </c>
      <c r="E12" s="110">
        <v>100</v>
      </c>
      <c r="F12" s="110">
        <v>77</v>
      </c>
      <c r="G12" s="110">
        <v>68</v>
      </c>
      <c r="H12" s="110">
        <v>86</v>
      </c>
      <c r="I12" s="261">
        <v>66</v>
      </c>
      <c r="J12" s="116">
        <f>C12/C$16</f>
        <v>0.46323529411764708</v>
      </c>
      <c r="K12" s="116">
        <f t="shared" ref="K12:P16" si="2">D12/D$16</f>
        <v>0.51193633952254647</v>
      </c>
      <c r="L12" s="116">
        <f t="shared" si="2"/>
        <v>0.44247787610619471</v>
      </c>
      <c r="M12" s="116">
        <f t="shared" si="2"/>
        <v>0.50993377483443714</v>
      </c>
      <c r="N12" s="116">
        <f t="shared" si="2"/>
        <v>0.46575342465753422</v>
      </c>
      <c r="O12" s="116">
        <f t="shared" si="2"/>
        <v>0.50588235294117645</v>
      </c>
      <c r="P12" s="116">
        <f t="shared" si="2"/>
        <v>0.52800000000000002</v>
      </c>
    </row>
    <row r="13" spans="1:16" x14ac:dyDescent="0.2">
      <c r="A13" s="111" t="s">
        <v>179</v>
      </c>
      <c r="B13" s="111" t="s">
        <v>88</v>
      </c>
      <c r="C13" s="109">
        <v>125</v>
      </c>
      <c r="D13" s="109">
        <v>117</v>
      </c>
      <c r="E13" s="109">
        <v>76</v>
      </c>
      <c r="F13" s="109">
        <v>33</v>
      </c>
      <c r="G13" s="109">
        <v>45</v>
      </c>
      <c r="H13" s="109">
        <v>51</v>
      </c>
      <c r="I13" s="259">
        <v>35</v>
      </c>
      <c r="J13" s="30">
        <f t="shared" ref="J13:J15" si="3">C13/C$16</f>
        <v>0.30637254901960786</v>
      </c>
      <c r="K13" s="30">
        <f t="shared" si="2"/>
        <v>0.31034482758620691</v>
      </c>
      <c r="L13" s="30">
        <f t="shared" si="2"/>
        <v>0.33628318584070799</v>
      </c>
      <c r="M13" s="30">
        <f t="shared" si="2"/>
        <v>0.2185430463576159</v>
      </c>
      <c r="N13" s="30">
        <f t="shared" si="2"/>
        <v>0.30821917808219179</v>
      </c>
      <c r="O13" s="30">
        <f t="shared" si="2"/>
        <v>0.3</v>
      </c>
      <c r="P13" s="30">
        <f t="shared" si="2"/>
        <v>0.28000000000000003</v>
      </c>
    </row>
    <row r="14" spans="1:16" x14ac:dyDescent="0.2">
      <c r="A14" s="111" t="s">
        <v>179</v>
      </c>
      <c r="B14" s="111" t="s">
        <v>89</v>
      </c>
      <c r="C14" s="109">
        <v>45</v>
      </c>
      <c r="D14" s="109">
        <v>45</v>
      </c>
      <c r="E14" s="109">
        <v>22</v>
      </c>
      <c r="F14" s="109">
        <v>29</v>
      </c>
      <c r="G14" s="109">
        <v>22</v>
      </c>
      <c r="H14" s="109">
        <v>19</v>
      </c>
      <c r="I14" s="259">
        <v>14</v>
      </c>
      <c r="J14" s="30">
        <f t="shared" si="3"/>
        <v>0.11029411764705882</v>
      </c>
      <c r="K14" s="30">
        <f t="shared" si="2"/>
        <v>0.11936339522546419</v>
      </c>
      <c r="L14" s="30">
        <f t="shared" si="2"/>
        <v>9.7345132743362831E-2</v>
      </c>
      <c r="M14" s="30">
        <f t="shared" si="2"/>
        <v>0.19205298013245034</v>
      </c>
      <c r="N14" s="30">
        <f t="shared" si="2"/>
        <v>0.15068493150684931</v>
      </c>
      <c r="O14" s="30">
        <f t="shared" si="2"/>
        <v>0.11176470588235295</v>
      </c>
      <c r="P14" s="30">
        <f t="shared" si="2"/>
        <v>0.112</v>
      </c>
    </row>
    <row r="15" spans="1:16" x14ac:dyDescent="0.2">
      <c r="A15" s="111" t="s">
        <v>179</v>
      </c>
      <c r="B15" s="111" t="s">
        <v>110</v>
      </c>
      <c r="C15" s="109">
        <v>49</v>
      </c>
      <c r="D15" s="109">
        <v>22</v>
      </c>
      <c r="E15" s="109">
        <v>28</v>
      </c>
      <c r="F15" s="109">
        <v>12</v>
      </c>
      <c r="G15" s="109">
        <v>11</v>
      </c>
      <c r="H15" s="109">
        <v>14</v>
      </c>
      <c r="I15" s="259">
        <v>10</v>
      </c>
      <c r="J15" s="30">
        <f t="shared" si="3"/>
        <v>0.12009803921568628</v>
      </c>
      <c r="K15" s="30">
        <f t="shared" si="2"/>
        <v>5.8355437665782495E-2</v>
      </c>
      <c r="L15" s="30">
        <f t="shared" si="2"/>
        <v>0.12389380530973451</v>
      </c>
      <c r="M15" s="30">
        <f t="shared" si="2"/>
        <v>7.9470198675496692E-2</v>
      </c>
      <c r="N15" s="30">
        <f t="shared" si="2"/>
        <v>7.5342465753424653E-2</v>
      </c>
      <c r="O15" s="30">
        <f t="shared" si="2"/>
        <v>8.2352941176470587E-2</v>
      </c>
      <c r="P15" s="30">
        <f t="shared" si="2"/>
        <v>0.08</v>
      </c>
    </row>
    <row r="16" spans="1:16" x14ac:dyDescent="0.2">
      <c r="A16" s="105" t="s">
        <v>179</v>
      </c>
      <c r="B16" s="105" t="s">
        <v>36</v>
      </c>
      <c r="C16" s="107">
        <v>408</v>
      </c>
      <c r="D16" s="107">
        <v>377</v>
      </c>
      <c r="E16" s="107">
        <v>226</v>
      </c>
      <c r="F16" s="107">
        <v>151</v>
      </c>
      <c r="G16" s="107">
        <v>146</v>
      </c>
      <c r="H16" s="107">
        <v>170</v>
      </c>
      <c r="I16" s="260">
        <v>125</v>
      </c>
      <c r="J16" s="115">
        <f>C16/C$16</f>
        <v>1</v>
      </c>
      <c r="K16" s="115">
        <f t="shared" si="2"/>
        <v>1</v>
      </c>
      <c r="L16" s="115">
        <f t="shared" si="2"/>
        <v>1</v>
      </c>
      <c r="M16" s="115">
        <f t="shared" si="2"/>
        <v>1</v>
      </c>
      <c r="N16" s="115">
        <f t="shared" si="2"/>
        <v>1</v>
      </c>
      <c r="O16" s="115">
        <f t="shared" si="2"/>
        <v>1</v>
      </c>
      <c r="P16" s="115">
        <f t="shared" si="2"/>
        <v>1</v>
      </c>
    </row>
    <row r="17" spans="1:16" x14ac:dyDescent="0.2">
      <c r="A17" s="112" t="s">
        <v>179</v>
      </c>
      <c r="B17" s="105" t="s">
        <v>96</v>
      </c>
      <c r="C17" s="107">
        <v>120</v>
      </c>
      <c r="D17" s="107">
        <v>91</v>
      </c>
      <c r="E17" s="107">
        <v>119</v>
      </c>
      <c r="F17" s="107">
        <v>91</v>
      </c>
      <c r="G17" s="107">
        <v>114</v>
      </c>
      <c r="H17" s="107">
        <v>91</v>
      </c>
      <c r="I17" s="260">
        <v>91</v>
      </c>
      <c r="J17" s="115" t="s">
        <v>37</v>
      </c>
      <c r="K17" s="115" t="s">
        <v>37</v>
      </c>
      <c r="L17" s="115" t="s">
        <v>37</v>
      </c>
      <c r="M17" s="115" t="s">
        <v>37</v>
      </c>
      <c r="N17" s="115" t="s">
        <v>37</v>
      </c>
      <c r="O17" s="115" t="s">
        <v>37</v>
      </c>
      <c r="P17" s="115" t="s">
        <v>37</v>
      </c>
    </row>
    <row r="18" spans="1:16" x14ac:dyDescent="0.2">
      <c r="A18" s="148" t="s">
        <v>273</v>
      </c>
      <c r="B18" s="148" t="s">
        <v>87</v>
      </c>
      <c r="C18" s="110">
        <v>31</v>
      </c>
      <c r="D18" s="110">
        <v>33</v>
      </c>
      <c r="E18" s="110">
        <v>26</v>
      </c>
      <c r="F18" s="110">
        <v>41</v>
      </c>
      <c r="G18" s="110">
        <v>19</v>
      </c>
      <c r="H18" s="110">
        <v>19</v>
      </c>
      <c r="I18" s="261">
        <v>21</v>
      </c>
      <c r="J18" s="116">
        <f>C18/C$22</f>
        <v>0.18343195266272189</v>
      </c>
      <c r="K18" s="116">
        <f t="shared" ref="K18:P22" si="4">D18/D$22</f>
        <v>0.1625615763546798</v>
      </c>
      <c r="L18" s="116">
        <f t="shared" si="4"/>
        <v>0.19259259259259259</v>
      </c>
      <c r="M18" s="116">
        <f t="shared" si="4"/>
        <v>0.31297709923664124</v>
      </c>
      <c r="N18" s="116">
        <f t="shared" si="4"/>
        <v>0.25333333333333335</v>
      </c>
      <c r="O18" s="116">
        <f t="shared" si="4"/>
        <v>0.16666666666666666</v>
      </c>
      <c r="P18" s="116">
        <f t="shared" si="4"/>
        <v>0.16153846153846155</v>
      </c>
    </row>
    <row r="19" spans="1:16" x14ac:dyDescent="0.2">
      <c r="A19" s="111" t="s">
        <v>273</v>
      </c>
      <c r="B19" s="111" t="s">
        <v>88</v>
      </c>
      <c r="C19" s="109">
        <v>27</v>
      </c>
      <c r="D19" s="109">
        <v>34</v>
      </c>
      <c r="E19" s="109">
        <v>22</v>
      </c>
      <c r="F19" s="109">
        <v>23</v>
      </c>
      <c r="G19" s="109">
        <v>11</v>
      </c>
      <c r="H19" s="109">
        <v>25</v>
      </c>
      <c r="I19" s="259">
        <v>27</v>
      </c>
      <c r="J19" s="30">
        <f t="shared" ref="J19:J22" si="5">C19/C$22</f>
        <v>0.15976331360946747</v>
      </c>
      <c r="K19" s="30">
        <f t="shared" si="4"/>
        <v>0.16748768472906403</v>
      </c>
      <c r="L19" s="30">
        <f t="shared" si="4"/>
        <v>0.16296296296296298</v>
      </c>
      <c r="M19" s="30">
        <f t="shared" si="4"/>
        <v>0.17557251908396945</v>
      </c>
      <c r="N19" s="30">
        <f t="shared" si="4"/>
        <v>0.14666666666666667</v>
      </c>
      <c r="O19" s="30">
        <f t="shared" si="4"/>
        <v>0.21929824561403508</v>
      </c>
      <c r="P19" s="30">
        <f t="shared" si="4"/>
        <v>0.2076923076923077</v>
      </c>
    </row>
    <row r="20" spans="1:16" x14ac:dyDescent="0.2">
      <c r="A20" s="111" t="s">
        <v>273</v>
      </c>
      <c r="B20" s="111" t="s">
        <v>89</v>
      </c>
      <c r="C20" s="109">
        <v>24</v>
      </c>
      <c r="D20" s="109">
        <v>21</v>
      </c>
      <c r="E20" s="109">
        <v>18</v>
      </c>
      <c r="F20" s="109">
        <v>14</v>
      </c>
      <c r="G20" s="109">
        <v>11</v>
      </c>
      <c r="H20" s="109">
        <v>14</v>
      </c>
      <c r="I20" s="259">
        <v>18</v>
      </c>
      <c r="J20" s="30">
        <f t="shared" si="5"/>
        <v>0.14201183431952663</v>
      </c>
      <c r="K20" s="30">
        <f t="shared" si="4"/>
        <v>0.10344827586206896</v>
      </c>
      <c r="L20" s="30">
        <f t="shared" si="4"/>
        <v>0.13333333333333333</v>
      </c>
      <c r="M20" s="30">
        <f t="shared" si="4"/>
        <v>0.10687022900763359</v>
      </c>
      <c r="N20" s="30">
        <f t="shared" si="4"/>
        <v>0.14666666666666667</v>
      </c>
      <c r="O20" s="30">
        <f t="shared" si="4"/>
        <v>0.12280701754385964</v>
      </c>
      <c r="P20" s="30">
        <f t="shared" si="4"/>
        <v>0.13846153846153847</v>
      </c>
    </row>
    <row r="21" spans="1:16" x14ac:dyDescent="0.2">
      <c r="A21" s="111" t="s">
        <v>273</v>
      </c>
      <c r="B21" s="111" t="s">
        <v>110</v>
      </c>
      <c r="C21" s="109">
        <v>87</v>
      </c>
      <c r="D21" s="109">
        <v>115</v>
      </c>
      <c r="E21" s="109">
        <v>69</v>
      </c>
      <c r="F21" s="109">
        <v>53</v>
      </c>
      <c r="G21" s="109">
        <v>34</v>
      </c>
      <c r="H21" s="109">
        <v>56</v>
      </c>
      <c r="I21" s="259">
        <v>64</v>
      </c>
      <c r="J21" s="30">
        <f t="shared" si="5"/>
        <v>0.51479289940828399</v>
      </c>
      <c r="K21" s="30">
        <f t="shared" si="4"/>
        <v>0.56650246305418717</v>
      </c>
      <c r="L21" s="30">
        <f t="shared" si="4"/>
        <v>0.51111111111111107</v>
      </c>
      <c r="M21" s="30">
        <f t="shared" si="4"/>
        <v>0.40458015267175573</v>
      </c>
      <c r="N21" s="30">
        <f t="shared" si="4"/>
        <v>0.45333333333333331</v>
      </c>
      <c r="O21" s="30">
        <f t="shared" si="4"/>
        <v>0.49122807017543857</v>
      </c>
      <c r="P21" s="30">
        <f t="shared" si="4"/>
        <v>0.49230769230769234</v>
      </c>
    </row>
    <row r="22" spans="1:16" x14ac:dyDescent="0.2">
      <c r="A22" s="105" t="s">
        <v>273</v>
      </c>
      <c r="B22" s="105" t="s">
        <v>36</v>
      </c>
      <c r="C22" s="107">
        <v>169</v>
      </c>
      <c r="D22" s="107">
        <v>203</v>
      </c>
      <c r="E22" s="107">
        <v>135</v>
      </c>
      <c r="F22" s="107">
        <v>131</v>
      </c>
      <c r="G22" s="107">
        <v>75</v>
      </c>
      <c r="H22" s="107">
        <v>114</v>
      </c>
      <c r="I22" s="260">
        <v>130</v>
      </c>
      <c r="J22" s="115">
        <f t="shared" si="5"/>
        <v>1</v>
      </c>
      <c r="K22" s="115">
        <f t="shared" si="4"/>
        <v>1</v>
      </c>
      <c r="L22" s="115">
        <f t="shared" si="4"/>
        <v>1</v>
      </c>
      <c r="M22" s="115">
        <f t="shared" si="4"/>
        <v>1</v>
      </c>
      <c r="N22" s="115">
        <f t="shared" si="4"/>
        <v>1</v>
      </c>
      <c r="O22" s="115">
        <f t="shared" si="4"/>
        <v>1</v>
      </c>
      <c r="P22" s="115">
        <f t="shared" si="4"/>
        <v>1</v>
      </c>
    </row>
    <row r="23" spans="1:16" x14ac:dyDescent="0.2">
      <c r="A23" s="112" t="s">
        <v>273</v>
      </c>
      <c r="B23" s="105" t="s">
        <v>96</v>
      </c>
      <c r="C23" s="107">
        <v>287</v>
      </c>
      <c r="D23" s="107">
        <v>302</v>
      </c>
      <c r="E23" s="107">
        <v>277</v>
      </c>
      <c r="F23" s="107">
        <v>192</v>
      </c>
      <c r="G23" s="107">
        <v>239</v>
      </c>
      <c r="H23" s="107">
        <v>265.5</v>
      </c>
      <c r="I23" s="260">
        <v>265.5</v>
      </c>
      <c r="J23" s="115" t="s">
        <v>37</v>
      </c>
      <c r="K23" s="115" t="s">
        <v>37</v>
      </c>
      <c r="L23" s="115" t="s">
        <v>37</v>
      </c>
      <c r="M23" s="115" t="s">
        <v>37</v>
      </c>
      <c r="N23" s="115" t="s">
        <v>37</v>
      </c>
      <c r="O23" s="115" t="s">
        <v>37</v>
      </c>
      <c r="P23" s="115" t="s">
        <v>37</v>
      </c>
    </row>
    <row r="24" spans="1:16" x14ac:dyDescent="0.2">
      <c r="A24" s="152" t="s">
        <v>180</v>
      </c>
      <c r="B24" s="152" t="s">
        <v>85</v>
      </c>
      <c r="C24" s="153">
        <v>1214</v>
      </c>
      <c r="D24" s="153">
        <v>1171</v>
      </c>
      <c r="E24" s="153">
        <v>778</v>
      </c>
      <c r="F24" s="153">
        <v>705</v>
      </c>
      <c r="G24" s="153">
        <v>567</v>
      </c>
      <c r="H24" s="153">
        <v>690</v>
      </c>
      <c r="I24" s="282">
        <v>644</v>
      </c>
      <c r="J24" s="154" t="s">
        <v>37</v>
      </c>
      <c r="K24" s="154" t="s">
        <v>37</v>
      </c>
      <c r="L24" s="154" t="s">
        <v>37</v>
      </c>
      <c r="M24" s="154" t="s">
        <v>37</v>
      </c>
      <c r="N24" s="154" t="s">
        <v>37</v>
      </c>
      <c r="O24" s="154" t="s">
        <v>37</v>
      </c>
      <c r="P24" s="154" t="s">
        <v>37</v>
      </c>
    </row>
    <row r="25" spans="1:16" x14ac:dyDescent="0.2">
      <c r="A25" s="105" t="s">
        <v>181</v>
      </c>
      <c r="B25" s="105" t="s">
        <v>96</v>
      </c>
      <c r="C25" s="107">
        <v>90</v>
      </c>
      <c r="D25" s="107">
        <v>91</v>
      </c>
      <c r="E25" s="107">
        <v>101</v>
      </c>
      <c r="F25" s="107">
        <v>96</v>
      </c>
      <c r="G25" s="107">
        <v>90</v>
      </c>
      <c r="H25" s="107">
        <v>96.5</v>
      </c>
      <c r="I25" s="260">
        <v>113</v>
      </c>
      <c r="J25" s="115" t="s">
        <v>37</v>
      </c>
      <c r="K25" s="115" t="s">
        <v>37</v>
      </c>
      <c r="L25" s="115" t="s">
        <v>37</v>
      </c>
      <c r="M25" s="115" t="s">
        <v>37</v>
      </c>
      <c r="N25" s="115" t="s">
        <v>37</v>
      </c>
      <c r="O25" s="115" t="s">
        <v>37</v>
      </c>
      <c r="P25" s="115" t="s">
        <v>37</v>
      </c>
    </row>
    <row r="26" spans="1:16" x14ac:dyDescent="0.2">
      <c r="A26" s="148" t="s">
        <v>158</v>
      </c>
      <c r="B26" s="148" t="s">
        <v>87</v>
      </c>
      <c r="C26" s="110">
        <v>503</v>
      </c>
      <c r="D26" s="110">
        <v>408</v>
      </c>
      <c r="E26" s="110">
        <v>222</v>
      </c>
      <c r="F26" s="110">
        <v>216</v>
      </c>
      <c r="G26" s="110">
        <v>275</v>
      </c>
      <c r="H26" s="110">
        <v>241</v>
      </c>
      <c r="I26" s="261">
        <v>229</v>
      </c>
      <c r="J26" s="116">
        <f>C26/C$30</f>
        <v>0.78963893249607531</v>
      </c>
      <c r="K26" s="116">
        <f t="shared" ref="K26:P30" si="6">D26/D$30</f>
        <v>0.75977653631284914</v>
      </c>
      <c r="L26" s="116">
        <f t="shared" si="6"/>
        <v>0.65486725663716816</v>
      </c>
      <c r="M26" s="116">
        <f t="shared" si="6"/>
        <v>0.5983379501385041</v>
      </c>
      <c r="N26" s="116">
        <f t="shared" si="6"/>
        <v>0.75342465753424659</v>
      </c>
      <c r="O26" s="116">
        <f t="shared" si="6"/>
        <v>0.6769662921348315</v>
      </c>
      <c r="P26" s="116">
        <f t="shared" si="6"/>
        <v>0.6775147928994083</v>
      </c>
    </row>
    <row r="27" spans="1:16" x14ac:dyDescent="0.2">
      <c r="A27" s="111" t="s">
        <v>158</v>
      </c>
      <c r="B27" s="111" t="s">
        <v>88</v>
      </c>
      <c r="C27" s="109">
        <v>90</v>
      </c>
      <c r="D27" s="109">
        <v>75</v>
      </c>
      <c r="E27" s="109">
        <v>47</v>
      </c>
      <c r="F27" s="109">
        <v>56</v>
      </c>
      <c r="G27" s="109">
        <v>44</v>
      </c>
      <c r="H27" s="109">
        <v>47</v>
      </c>
      <c r="I27" s="259">
        <v>43</v>
      </c>
      <c r="J27" s="30">
        <f t="shared" ref="J27:J30" si="7">C27/C$30</f>
        <v>0.14128728414442701</v>
      </c>
      <c r="K27" s="30">
        <f t="shared" si="6"/>
        <v>0.13966480446927373</v>
      </c>
      <c r="L27" s="30">
        <f t="shared" si="6"/>
        <v>0.13864306784660768</v>
      </c>
      <c r="M27" s="30">
        <f t="shared" si="6"/>
        <v>0.15512465373961218</v>
      </c>
      <c r="N27" s="30">
        <f t="shared" si="6"/>
        <v>0.12054794520547946</v>
      </c>
      <c r="O27" s="30">
        <f t="shared" si="6"/>
        <v>0.13202247191011235</v>
      </c>
      <c r="P27" s="30">
        <f t="shared" si="6"/>
        <v>0.12721893491124261</v>
      </c>
    </row>
    <row r="28" spans="1:16" x14ac:dyDescent="0.2">
      <c r="A28" s="111" t="s">
        <v>158</v>
      </c>
      <c r="B28" s="111" t="s">
        <v>89</v>
      </c>
      <c r="C28" s="109">
        <v>35</v>
      </c>
      <c r="D28" s="109">
        <v>44</v>
      </c>
      <c r="E28" s="109">
        <v>35</v>
      </c>
      <c r="F28" s="109">
        <v>49</v>
      </c>
      <c r="G28" s="109">
        <v>26</v>
      </c>
      <c r="H28" s="109">
        <v>32</v>
      </c>
      <c r="I28" s="259">
        <v>38</v>
      </c>
      <c r="J28" s="30">
        <f t="shared" si="7"/>
        <v>5.4945054945054944E-2</v>
      </c>
      <c r="K28" s="30">
        <f t="shared" si="6"/>
        <v>8.1936685288640593E-2</v>
      </c>
      <c r="L28" s="30">
        <f t="shared" si="6"/>
        <v>0.10324483775811209</v>
      </c>
      <c r="M28" s="30">
        <f>F28/F$30</f>
        <v>0.13573407202216067</v>
      </c>
      <c r="N28" s="30">
        <f t="shared" si="6"/>
        <v>7.1232876712328766E-2</v>
      </c>
      <c r="O28" s="30">
        <f t="shared" si="6"/>
        <v>8.98876404494382E-2</v>
      </c>
      <c r="P28" s="30">
        <f t="shared" si="6"/>
        <v>0.11242603550295859</v>
      </c>
    </row>
    <row r="29" spans="1:16" x14ac:dyDescent="0.2">
      <c r="A29" s="111" t="s">
        <v>158</v>
      </c>
      <c r="B29" s="111" t="s">
        <v>110</v>
      </c>
      <c r="C29" s="109">
        <v>9</v>
      </c>
      <c r="D29" s="109">
        <v>10</v>
      </c>
      <c r="E29" s="109">
        <v>35</v>
      </c>
      <c r="F29" s="109">
        <v>40</v>
      </c>
      <c r="G29" s="109">
        <v>20</v>
      </c>
      <c r="H29" s="109">
        <v>36</v>
      </c>
      <c r="I29" s="259">
        <v>28</v>
      </c>
      <c r="J29" s="30">
        <f t="shared" si="7"/>
        <v>1.4128728414442701E-2</v>
      </c>
      <c r="K29" s="30">
        <f t="shared" si="6"/>
        <v>1.86219739292365E-2</v>
      </c>
      <c r="L29" s="30">
        <f t="shared" si="6"/>
        <v>0.10324483775811209</v>
      </c>
      <c r="M29" s="30">
        <f t="shared" si="6"/>
        <v>0.11080332409972299</v>
      </c>
      <c r="N29" s="30">
        <f t="shared" si="6"/>
        <v>5.4794520547945202E-2</v>
      </c>
      <c r="O29" s="30">
        <f t="shared" si="6"/>
        <v>0.10112359550561797</v>
      </c>
      <c r="P29" s="30">
        <f t="shared" si="6"/>
        <v>8.2840236686390539E-2</v>
      </c>
    </row>
    <row r="30" spans="1:16" x14ac:dyDescent="0.2">
      <c r="A30" s="112" t="s">
        <v>158</v>
      </c>
      <c r="B30" s="105" t="s">
        <v>36</v>
      </c>
      <c r="C30" s="107">
        <v>637</v>
      </c>
      <c r="D30" s="107">
        <v>537</v>
      </c>
      <c r="E30" s="107">
        <v>339</v>
      </c>
      <c r="F30" s="107">
        <v>361</v>
      </c>
      <c r="G30" s="107">
        <v>365</v>
      </c>
      <c r="H30" s="107">
        <v>356</v>
      </c>
      <c r="I30" s="260">
        <v>338</v>
      </c>
      <c r="J30" s="115">
        <f t="shared" si="7"/>
        <v>1</v>
      </c>
      <c r="K30" s="115">
        <f t="shared" si="6"/>
        <v>1</v>
      </c>
      <c r="L30" s="115">
        <f t="shared" si="6"/>
        <v>1</v>
      </c>
      <c r="M30" s="115">
        <f t="shared" si="6"/>
        <v>1</v>
      </c>
      <c r="N30" s="115">
        <f t="shared" si="6"/>
        <v>1</v>
      </c>
      <c r="O30" s="115">
        <f t="shared" si="6"/>
        <v>1</v>
      </c>
      <c r="P30" s="115">
        <f t="shared" si="6"/>
        <v>1</v>
      </c>
    </row>
    <row r="31" spans="1:16" x14ac:dyDescent="0.2">
      <c r="A31" s="112" t="s">
        <v>158</v>
      </c>
      <c r="B31" s="105" t="s">
        <v>96</v>
      </c>
      <c r="C31" s="107">
        <v>33</v>
      </c>
      <c r="D31" s="107">
        <v>41</v>
      </c>
      <c r="E31" s="107">
        <v>54</v>
      </c>
      <c r="F31" s="107">
        <v>63.5</v>
      </c>
      <c r="G31" s="107">
        <v>42</v>
      </c>
      <c r="H31" s="107">
        <v>40</v>
      </c>
      <c r="I31" s="260">
        <v>40.5</v>
      </c>
      <c r="J31" s="115" t="s">
        <v>37</v>
      </c>
      <c r="K31" s="115" t="s">
        <v>37</v>
      </c>
      <c r="L31" s="115" t="s">
        <v>37</v>
      </c>
      <c r="M31" s="115" t="s">
        <v>37</v>
      </c>
      <c r="N31" s="115" t="s">
        <v>37</v>
      </c>
      <c r="O31" s="115" t="s">
        <v>37</v>
      </c>
      <c r="P31" s="115" t="s">
        <v>37</v>
      </c>
    </row>
    <row r="32" spans="1:16" x14ac:dyDescent="0.2">
      <c r="A32" s="148" t="s">
        <v>159</v>
      </c>
      <c r="B32" s="148" t="s">
        <v>87</v>
      </c>
      <c r="C32" s="110">
        <v>342</v>
      </c>
      <c r="D32" s="110">
        <v>265</v>
      </c>
      <c r="E32" s="110">
        <v>149</v>
      </c>
      <c r="F32" s="110">
        <v>97</v>
      </c>
      <c r="G32" s="110">
        <v>118</v>
      </c>
      <c r="H32" s="110">
        <v>120</v>
      </c>
      <c r="I32" s="261">
        <v>118</v>
      </c>
      <c r="J32" s="116">
        <f>C32/C$36</f>
        <v>0.50968703427719819</v>
      </c>
      <c r="K32" s="116">
        <f t="shared" ref="K32:P36" si="8">D32/D$36</f>
        <v>0.50189393939393945</v>
      </c>
      <c r="L32" s="116">
        <f t="shared" si="8"/>
        <v>0.5033783783783784</v>
      </c>
      <c r="M32" s="116">
        <f t="shared" si="8"/>
        <v>0.44907407407407407</v>
      </c>
      <c r="N32" s="116">
        <f t="shared" si="8"/>
        <v>0.52914798206278024</v>
      </c>
      <c r="O32" s="116">
        <f t="shared" si="8"/>
        <v>0.4838709677419355</v>
      </c>
      <c r="P32" s="116">
        <f t="shared" si="8"/>
        <v>0.51982378854625555</v>
      </c>
    </row>
    <row r="33" spans="1:16" x14ac:dyDescent="0.2">
      <c r="A33" s="111" t="s">
        <v>159</v>
      </c>
      <c r="B33" s="111" t="s">
        <v>88</v>
      </c>
      <c r="C33" s="109">
        <v>193</v>
      </c>
      <c r="D33" s="109">
        <v>145</v>
      </c>
      <c r="E33" s="109">
        <v>66</v>
      </c>
      <c r="F33" s="109">
        <v>63</v>
      </c>
      <c r="G33" s="109">
        <v>67</v>
      </c>
      <c r="H33" s="109">
        <v>81</v>
      </c>
      <c r="I33" s="259">
        <v>64</v>
      </c>
      <c r="J33" s="30">
        <f t="shared" ref="J33:J36" si="9">C33/C$36</f>
        <v>0.28763040238450077</v>
      </c>
      <c r="K33" s="30">
        <f t="shared" si="8"/>
        <v>0.2746212121212121</v>
      </c>
      <c r="L33" s="30">
        <f t="shared" si="8"/>
        <v>0.22297297297297297</v>
      </c>
      <c r="M33" s="30">
        <f t="shared" si="8"/>
        <v>0.29166666666666669</v>
      </c>
      <c r="N33" s="30">
        <f t="shared" si="8"/>
        <v>0.30044843049327352</v>
      </c>
      <c r="O33" s="30">
        <f t="shared" si="8"/>
        <v>0.32661290322580644</v>
      </c>
      <c r="P33" s="30">
        <f t="shared" si="8"/>
        <v>0.28193832599118945</v>
      </c>
    </row>
    <row r="34" spans="1:16" x14ac:dyDescent="0.2">
      <c r="A34" s="111" t="s">
        <v>159</v>
      </c>
      <c r="B34" s="111" t="s">
        <v>89</v>
      </c>
      <c r="C34" s="109">
        <v>83</v>
      </c>
      <c r="D34" s="109">
        <v>67</v>
      </c>
      <c r="E34" s="109">
        <v>47</v>
      </c>
      <c r="F34" s="109">
        <v>37</v>
      </c>
      <c r="G34" s="109">
        <v>21</v>
      </c>
      <c r="H34" s="109">
        <v>31</v>
      </c>
      <c r="I34" s="259">
        <v>27</v>
      </c>
      <c r="J34" s="30">
        <f t="shared" si="9"/>
        <v>0.12369597615499255</v>
      </c>
      <c r="K34" s="30">
        <f t="shared" si="8"/>
        <v>0.12689393939393939</v>
      </c>
      <c r="L34" s="30">
        <f t="shared" si="8"/>
        <v>0.15878378378378377</v>
      </c>
      <c r="M34" s="30">
        <f t="shared" si="8"/>
        <v>0.17129629629629631</v>
      </c>
      <c r="N34" s="30">
        <f t="shared" si="8"/>
        <v>9.417040358744394E-2</v>
      </c>
      <c r="O34" s="30">
        <f t="shared" si="8"/>
        <v>0.125</v>
      </c>
      <c r="P34" s="30">
        <f t="shared" si="8"/>
        <v>0.11894273127753303</v>
      </c>
    </row>
    <row r="35" spans="1:16" x14ac:dyDescent="0.2">
      <c r="A35" s="111" t="s">
        <v>159</v>
      </c>
      <c r="B35" s="111" t="s">
        <v>111</v>
      </c>
      <c r="C35" s="109">
        <v>53</v>
      </c>
      <c r="D35" s="109">
        <v>51</v>
      </c>
      <c r="E35" s="109">
        <v>34</v>
      </c>
      <c r="F35" s="109">
        <v>19</v>
      </c>
      <c r="G35" s="109">
        <v>17</v>
      </c>
      <c r="H35" s="109">
        <v>16</v>
      </c>
      <c r="I35" s="259">
        <v>18</v>
      </c>
      <c r="J35" s="30">
        <f t="shared" si="9"/>
        <v>7.898658718330849E-2</v>
      </c>
      <c r="K35" s="30">
        <f t="shared" si="8"/>
        <v>9.6590909090909088E-2</v>
      </c>
      <c r="L35" s="30">
        <f t="shared" si="8"/>
        <v>0.11486486486486487</v>
      </c>
      <c r="M35" s="30">
        <f t="shared" si="8"/>
        <v>8.7962962962962965E-2</v>
      </c>
      <c r="N35" s="30">
        <f t="shared" si="8"/>
        <v>7.623318385650224E-2</v>
      </c>
      <c r="O35" s="30">
        <f t="shared" si="8"/>
        <v>6.4516129032258063E-2</v>
      </c>
      <c r="P35" s="30">
        <f t="shared" si="8"/>
        <v>7.9295154185022032E-2</v>
      </c>
    </row>
    <row r="36" spans="1:16" x14ac:dyDescent="0.2">
      <c r="A36" s="112" t="s">
        <v>159</v>
      </c>
      <c r="B36" s="105" t="s">
        <v>36</v>
      </c>
      <c r="C36" s="107">
        <v>671</v>
      </c>
      <c r="D36" s="107">
        <v>528</v>
      </c>
      <c r="E36" s="107">
        <v>296</v>
      </c>
      <c r="F36" s="107">
        <v>216</v>
      </c>
      <c r="G36" s="107">
        <v>223</v>
      </c>
      <c r="H36" s="107">
        <v>248</v>
      </c>
      <c r="I36" s="260">
        <v>227</v>
      </c>
      <c r="J36" s="115">
        <f t="shared" si="9"/>
        <v>1</v>
      </c>
      <c r="K36" s="115">
        <f t="shared" si="8"/>
        <v>1</v>
      </c>
      <c r="L36" s="115">
        <f t="shared" si="8"/>
        <v>1</v>
      </c>
      <c r="M36" s="115">
        <f t="shared" si="8"/>
        <v>1</v>
      </c>
      <c r="N36" s="115">
        <f t="shared" si="8"/>
        <v>1</v>
      </c>
      <c r="O36" s="115">
        <f t="shared" si="8"/>
        <v>1</v>
      </c>
      <c r="P36" s="115">
        <f t="shared" si="8"/>
        <v>1</v>
      </c>
    </row>
    <row r="37" spans="1:16" x14ac:dyDescent="0.2">
      <c r="A37" s="112" t="s">
        <v>159</v>
      </c>
      <c r="B37" s="105" t="s">
        <v>96</v>
      </c>
      <c r="C37" s="107">
        <v>91</v>
      </c>
      <c r="D37" s="107">
        <v>91</v>
      </c>
      <c r="E37" s="107">
        <v>91</v>
      </c>
      <c r="F37" s="107">
        <v>120</v>
      </c>
      <c r="G37" s="107">
        <v>91</v>
      </c>
      <c r="H37" s="107">
        <v>93.5</v>
      </c>
      <c r="I37" s="260">
        <v>91</v>
      </c>
      <c r="J37" s="115" t="s">
        <v>37</v>
      </c>
      <c r="K37" s="115" t="s">
        <v>37</v>
      </c>
      <c r="L37" s="115" t="s">
        <v>37</v>
      </c>
      <c r="M37" s="115" t="s">
        <v>37</v>
      </c>
      <c r="N37" s="115" t="s">
        <v>37</v>
      </c>
      <c r="O37" s="115" t="s">
        <v>37</v>
      </c>
      <c r="P37" s="115" t="s">
        <v>37</v>
      </c>
    </row>
    <row r="38" spans="1:16" x14ac:dyDescent="0.2">
      <c r="A38" s="148" t="s">
        <v>274</v>
      </c>
      <c r="B38" s="148" t="s">
        <v>87</v>
      </c>
      <c r="C38" s="110">
        <v>34</v>
      </c>
      <c r="D38" s="110">
        <v>37</v>
      </c>
      <c r="E38" s="110">
        <v>27</v>
      </c>
      <c r="F38" s="110">
        <v>36</v>
      </c>
      <c r="G38" s="110">
        <v>20</v>
      </c>
      <c r="H38" s="110">
        <v>26</v>
      </c>
      <c r="I38" s="261">
        <v>35</v>
      </c>
      <c r="J38" s="116">
        <f>C38/C$42</f>
        <v>0.19540229885057472</v>
      </c>
      <c r="K38" s="116">
        <f t="shared" ref="K38:P42" si="10">D38/D$42</f>
        <v>0.21637426900584794</v>
      </c>
      <c r="L38" s="116">
        <f t="shared" si="10"/>
        <v>0.2076923076923077</v>
      </c>
      <c r="M38" s="116">
        <f t="shared" si="10"/>
        <v>0.32727272727272727</v>
      </c>
      <c r="N38" s="116">
        <f t="shared" si="10"/>
        <v>0.20408163265306123</v>
      </c>
      <c r="O38" s="116">
        <f t="shared" si="10"/>
        <v>0.24299065420560748</v>
      </c>
      <c r="P38" s="116">
        <f t="shared" si="10"/>
        <v>0.28925619834710742</v>
      </c>
    </row>
    <row r="39" spans="1:16" x14ac:dyDescent="0.2">
      <c r="A39" s="111" t="s">
        <v>274</v>
      </c>
      <c r="B39" s="111" t="s">
        <v>88</v>
      </c>
      <c r="C39" s="109">
        <v>31</v>
      </c>
      <c r="D39" s="109">
        <v>23</v>
      </c>
      <c r="E39" s="109">
        <v>15</v>
      </c>
      <c r="F39" s="109">
        <v>18</v>
      </c>
      <c r="G39" s="109">
        <v>13</v>
      </c>
      <c r="H39" s="109">
        <v>14</v>
      </c>
      <c r="I39" s="259">
        <v>22</v>
      </c>
      <c r="J39" s="30">
        <f t="shared" ref="J39:J42" si="11">C39/C$42</f>
        <v>0.17816091954022989</v>
      </c>
      <c r="K39" s="30">
        <f t="shared" si="10"/>
        <v>0.13450292397660818</v>
      </c>
      <c r="L39" s="30">
        <f t="shared" si="10"/>
        <v>0.11538461538461539</v>
      </c>
      <c r="M39" s="30">
        <f t="shared" si="10"/>
        <v>0.16363636363636364</v>
      </c>
      <c r="N39" s="30">
        <f t="shared" si="10"/>
        <v>0.1326530612244898</v>
      </c>
      <c r="O39" s="30">
        <f t="shared" si="10"/>
        <v>0.13084112149532709</v>
      </c>
      <c r="P39" s="30">
        <f t="shared" si="10"/>
        <v>0.18181818181818182</v>
      </c>
    </row>
    <row r="40" spans="1:16" x14ac:dyDescent="0.2">
      <c r="A40" s="111" t="s">
        <v>274</v>
      </c>
      <c r="B40" s="111" t="s">
        <v>89</v>
      </c>
      <c r="C40" s="109">
        <v>17</v>
      </c>
      <c r="D40" s="109">
        <v>27</v>
      </c>
      <c r="E40" s="109">
        <v>15</v>
      </c>
      <c r="F40" s="109">
        <v>16</v>
      </c>
      <c r="G40" s="109">
        <v>15</v>
      </c>
      <c r="H40" s="109">
        <v>14</v>
      </c>
      <c r="I40" s="259">
        <v>16</v>
      </c>
      <c r="J40" s="30">
        <f t="shared" si="11"/>
        <v>9.7701149425287362E-2</v>
      </c>
      <c r="K40" s="30">
        <f t="shared" si="10"/>
        <v>0.15789473684210525</v>
      </c>
      <c r="L40" s="30">
        <f t="shared" si="10"/>
        <v>0.11538461538461539</v>
      </c>
      <c r="M40" s="30">
        <f t="shared" si="10"/>
        <v>0.14545454545454545</v>
      </c>
      <c r="N40" s="30">
        <f t="shared" si="10"/>
        <v>0.15306122448979592</v>
      </c>
      <c r="O40" s="30">
        <f t="shared" si="10"/>
        <v>0.13084112149532709</v>
      </c>
      <c r="P40" s="30">
        <f t="shared" si="10"/>
        <v>0.13223140495867769</v>
      </c>
    </row>
    <row r="41" spans="1:16" x14ac:dyDescent="0.2">
      <c r="A41" s="111" t="s">
        <v>274</v>
      </c>
      <c r="B41" s="111" t="s">
        <v>111</v>
      </c>
      <c r="C41" s="109">
        <v>92</v>
      </c>
      <c r="D41" s="109">
        <v>84</v>
      </c>
      <c r="E41" s="109">
        <v>73</v>
      </c>
      <c r="F41" s="109">
        <v>40</v>
      </c>
      <c r="G41" s="109">
        <v>50</v>
      </c>
      <c r="H41" s="109">
        <v>53</v>
      </c>
      <c r="I41" s="259">
        <v>48</v>
      </c>
      <c r="J41" s="30">
        <f t="shared" si="11"/>
        <v>0.52873563218390807</v>
      </c>
      <c r="K41" s="30">
        <f t="shared" si="10"/>
        <v>0.49122807017543857</v>
      </c>
      <c r="L41" s="30">
        <f t="shared" si="10"/>
        <v>0.56153846153846154</v>
      </c>
      <c r="M41" s="30">
        <f t="shared" si="10"/>
        <v>0.36363636363636365</v>
      </c>
      <c r="N41" s="30">
        <f t="shared" si="10"/>
        <v>0.51020408163265307</v>
      </c>
      <c r="O41" s="30">
        <f t="shared" si="10"/>
        <v>0.49532710280373832</v>
      </c>
      <c r="P41" s="30">
        <f t="shared" si="10"/>
        <v>0.39669421487603307</v>
      </c>
    </row>
    <row r="42" spans="1:16" x14ac:dyDescent="0.2">
      <c r="A42" s="112" t="s">
        <v>274</v>
      </c>
      <c r="B42" s="105" t="s">
        <v>36</v>
      </c>
      <c r="C42" s="107">
        <v>174</v>
      </c>
      <c r="D42" s="107">
        <v>171</v>
      </c>
      <c r="E42" s="107">
        <v>130</v>
      </c>
      <c r="F42" s="107">
        <v>110</v>
      </c>
      <c r="G42" s="107">
        <v>98</v>
      </c>
      <c r="H42" s="107">
        <v>107</v>
      </c>
      <c r="I42" s="260">
        <v>121</v>
      </c>
      <c r="J42" s="115">
        <f t="shared" si="11"/>
        <v>1</v>
      </c>
      <c r="K42" s="115">
        <f t="shared" si="10"/>
        <v>1</v>
      </c>
      <c r="L42" s="115">
        <f t="shared" si="10"/>
        <v>1</v>
      </c>
      <c r="M42" s="115">
        <f t="shared" si="10"/>
        <v>1</v>
      </c>
      <c r="N42" s="115">
        <f t="shared" si="10"/>
        <v>1</v>
      </c>
      <c r="O42" s="115">
        <f t="shared" si="10"/>
        <v>1</v>
      </c>
      <c r="P42" s="115">
        <f t="shared" si="10"/>
        <v>1</v>
      </c>
    </row>
    <row r="43" spans="1:16" x14ac:dyDescent="0.2">
      <c r="A43" s="112" t="s">
        <v>274</v>
      </c>
      <c r="B43" s="105" t="s">
        <v>96</v>
      </c>
      <c r="C43" s="107">
        <v>302</v>
      </c>
      <c r="D43" s="107">
        <v>264</v>
      </c>
      <c r="E43" s="107">
        <v>322</v>
      </c>
      <c r="F43" s="107">
        <v>193</v>
      </c>
      <c r="G43" s="107">
        <v>275</v>
      </c>
      <c r="H43" s="107">
        <v>263</v>
      </c>
      <c r="I43" s="260">
        <v>200</v>
      </c>
      <c r="J43" s="115" t="s">
        <v>37</v>
      </c>
      <c r="K43" s="115" t="s">
        <v>37</v>
      </c>
      <c r="L43" s="115" t="s">
        <v>37</v>
      </c>
      <c r="M43" s="115" t="s">
        <v>37</v>
      </c>
      <c r="N43" s="115" t="s">
        <v>37</v>
      </c>
      <c r="O43" s="115" t="s">
        <v>37</v>
      </c>
      <c r="P43" s="115" t="s">
        <v>37</v>
      </c>
    </row>
    <row r="44" spans="1:16" x14ac:dyDescent="0.2">
      <c r="A44" s="152" t="s">
        <v>182</v>
      </c>
      <c r="B44" s="152" t="s">
        <v>86</v>
      </c>
      <c r="C44" s="153">
        <v>1482</v>
      </c>
      <c r="D44" s="153">
        <v>1236</v>
      </c>
      <c r="E44" s="153">
        <v>765</v>
      </c>
      <c r="F44" s="153">
        <v>687</v>
      </c>
      <c r="G44" s="153">
        <v>686</v>
      </c>
      <c r="H44" s="153">
        <v>711</v>
      </c>
      <c r="I44" s="282">
        <v>686</v>
      </c>
      <c r="J44" s="154" t="s">
        <v>37</v>
      </c>
      <c r="K44" s="154" t="s">
        <v>37</v>
      </c>
      <c r="L44" s="154" t="s">
        <v>37</v>
      </c>
      <c r="M44" s="154" t="s">
        <v>37</v>
      </c>
      <c r="N44" s="154" t="s">
        <v>37</v>
      </c>
      <c r="O44" s="154" t="s">
        <v>37</v>
      </c>
      <c r="P44" s="154" t="s">
        <v>37</v>
      </c>
    </row>
    <row r="45" spans="1:16" x14ac:dyDescent="0.2">
      <c r="A45" s="126" t="s">
        <v>183</v>
      </c>
      <c r="B45" s="126" t="s">
        <v>96</v>
      </c>
      <c r="C45" s="106">
        <v>88</v>
      </c>
      <c r="D45" s="106">
        <v>89</v>
      </c>
      <c r="E45" s="106">
        <v>91</v>
      </c>
      <c r="F45" s="106">
        <v>91</v>
      </c>
      <c r="G45" s="106">
        <v>76</v>
      </c>
      <c r="H45" s="106">
        <v>87</v>
      </c>
      <c r="I45" s="265">
        <v>85</v>
      </c>
      <c r="J45" s="155" t="s">
        <v>37</v>
      </c>
      <c r="K45" s="155" t="s">
        <v>37</v>
      </c>
      <c r="L45" s="155" t="s">
        <v>37</v>
      </c>
      <c r="M45" s="155" t="s">
        <v>37</v>
      </c>
      <c r="N45" s="155" t="s">
        <v>37</v>
      </c>
      <c r="O45" s="155" t="s">
        <v>37</v>
      </c>
      <c r="P45" s="155" t="s">
        <v>37</v>
      </c>
    </row>
  </sheetData>
  <phoneticPr fontId="19" type="noConversion"/>
  <pageMargins left="0.7" right="0.7" top="0.75" bottom="0.75" header="0.3" footer="0.3"/>
  <tableParts count="1">
    <tablePart r:id="rId1"/>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E09A0A-60C5-4DAF-BA03-DFDEE2CC2D3B}">
  <sheetPr codeName="Sheet21"/>
  <dimension ref="A1:P22"/>
  <sheetViews>
    <sheetView workbookViewId="0"/>
  </sheetViews>
  <sheetFormatPr defaultColWidth="8.6640625" defaultRowHeight="15" x14ac:dyDescent="0.2"/>
  <cols>
    <col min="1" max="1" width="21.44140625" bestFit="1" customWidth="1"/>
    <col min="2" max="2" width="19.33203125" bestFit="1" customWidth="1"/>
    <col min="10" max="10" width="9.33203125" customWidth="1"/>
  </cols>
  <sheetData>
    <row r="1" spans="1:16" ht="15.75" x14ac:dyDescent="0.2">
      <c r="A1" s="38" t="s">
        <v>279</v>
      </c>
      <c r="B1" s="38"/>
      <c r="C1" s="34"/>
      <c r="D1" s="32"/>
      <c r="E1" s="32"/>
      <c r="F1" s="32"/>
      <c r="G1" s="32"/>
      <c r="H1" s="32"/>
      <c r="I1" s="28"/>
      <c r="J1" s="28"/>
      <c r="K1" s="28"/>
      <c r="L1" s="28"/>
      <c r="M1" s="28"/>
      <c r="N1" s="26"/>
    </row>
    <row r="2" spans="1:16" x14ac:dyDescent="0.2">
      <c r="A2" s="99" t="s">
        <v>121</v>
      </c>
      <c r="B2" s="99"/>
      <c r="C2" s="32"/>
      <c r="D2" s="32"/>
      <c r="E2" s="32"/>
      <c r="F2" s="32"/>
      <c r="G2" s="32"/>
      <c r="H2" s="32"/>
      <c r="I2" s="28"/>
      <c r="J2" s="32"/>
      <c r="K2" s="28"/>
      <c r="L2" s="28"/>
      <c r="M2" s="28"/>
      <c r="N2" s="26"/>
    </row>
    <row r="3" spans="1:16" x14ac:dyDescent="0.2">
      <c r="A3" s="100" t="s">
        <v>280</v>
      </c>
      <c r="B3" s="100"/>
      <c r="C3" s="34"/>
      <c r="D3" s="34"/>
      <c r="E3" s="34"/>
      <c r="F3" s="34"/>
      <c r="G3" s="34"/>
      <c r="H3" s="34"/>
      <c r="I3" s="34"/>
      <c r="J3" s="34"/>
      <c r="K3" s="34"/>
      <c r="L3" s="34"/>
      <c r="M3" s="34"/>
      <c r="N3" s="31"/>
    </row>
    <row r="4" spans="1:16" ht="25.5" x14ac:dyDescent="0.2">
      <c r="A4" s="223" t="s">
        <v>156</v>
      </c>
      <c r="B4" s="223" t="s">
        <v>141</v>
      </c>
      <c r="C4" s="216" t="s">
        <v>132</v>
      </c>
      <c r="D4" s="216" t="s">
        <v>133</v>
      </c>
      <c r="E4" s="216" t="s">
        <v>134</v>
      </c>
      <c r="F4" s="216" t="s">
        <v>135</v>
      </c>
      <c r="G4" s="216" t="s">
        <v>169</v>
      </c>
      <c r="H4" s="216" t="s">
        <v>189</v>
      </c>
      <c r="I4" s="281" t="s">
        <v>242</v>
      </c>
      <c r="J4" s="216" t="s">
        <v>136</v>
      </c>
      <c r="K4" s="216" t="s">
        <v>140</v>
      </c>
      <c r="L4" s="216" t="s">
        <v>138</v>
      </c>
      <c r="M4" s="216" t="s">
        <v>139</v>
      </c>
      <c r="N4" s="216" t="s">
        <v>170</v>
      </c>
      <c r="O4" s="216" t="s">
        <v>191</v>
      </c>
      <c r="P4" s="216" t="s">
        <v>243</v>
      </c>
    </row>
    <row r="5" spans="1:16" x14ac:dyDescent="0.2">
      <c r="A5" s="111" t="s">
        <v>81</v>
      </c>
      <c r="B5" s="111" t="s">
        <v>87</v>
      </c>
      <c r="C5" s="131">
        <v>485</v>
      </c>
      <c r="D5" s="131">
        <v>361</v>
      </c>
      <c r="E5" s="131">
        <v>147</v>
      </c>
      <c r="F5" s="131">
        <v>133</v>
      </c>
      <c r="G5" s="131">
        <v>169</v>
      </c>
      <c r="H5" s="131">
        <v>182</v>
      </c>
      <c r="I5" s="268">
        <v>169</v>
      </c>
      <c r="J5" s="30">
        <f>C5/C$9</f>
        <v>0.67927170868347342</v>
      </c>
      <c r="K5" s="30">
        <f t="shared" ref="K5:P9" si="0">D5/D$9</f>
        <v>0.64120781527531079</v>
      </c>
      <c r="L5" s="30">
        <f t="shared" si="0"/>
        <v>0.56976744186046513</v>
      </c>
      <c r="M5" s="30">
        <f t="shared" si="0"/>
        <v>0.4375</v>
      </c>
      <c r="N5" s="30">
        <f t="shared" si="0"/>
        <v>0.51840490797546013</v>
      </c>
      <c r="O5" s="30">
        <f t="shared" si="0"/>
        <v>0.45843828715365237</v>
      </c>
      <c r="P5" s="30">
        <f t="shared" si="0"/>
        <v>0.47875354107648727</v>
      </c>
    </row>
    <row r="6" spans="1:16" x14ac:dyDescent="0.2">
      <c r="A6" s="111" t="s">
        <v>81</v>
      </c>
      <c r="B6" s="111" t="s">
        <v>88</v>
      </c>
      <c r="C6" s="131">
        <v>130</v>
      </c>
      <c r="D6" s="131">
        <v>100</v>
      </c>
      <c r="E6" s="131">
        <v>44</v>
      </c>
      <c r="F6" s="131">
        <v>51</v>
      </c>
      <c r="G6" s="131">
        <v>62</v>
      </c>
      <c r="H6" s="131">
        <v>67</v>
      </c>
      <c r="I6" s="268">
        <v>51</v>
      </c>
      <c r="J6" s="30">
        <f>C6/C$9</f>
        <v>0.18207282913165265</v>
      </c>
      <c r="K6" s="30">
        <f t="shared" si="0"/>
        <v>0.17761989342806395</v>
      </c>
      <c r="L6" s="30">
        <f t="shared" si="0"/>
        <v>0.17054263565891473</v>
      </c>
      <c r="M6" s="30">
        <f t="shared" si="0"/>
        <v>0.16776315789473684</v>
      </c>
      <c r="N6" s="30">
        <f t="shared" si="0"/>
        <v>0.19018404907975461</v>
      </c>
      <c r="O6" s="30">
        <f t="shared" si="0"/>
        <v>0.16876574307304787</v>
      </c>
      <c r="P6" s="30">
        <f t="shared" si="0"/>
        <v>0.14447592067988668</v>
      </c>
    </row>
    <row r="7" spans="1:16" x14ac:dyDescent="0.2">
      <c r="A7" s="111" t="s">
        <v>81</v>
      </c>
      <c r="B7" s="111" t="s">
        <v>89</v>
      </c>
      <c r="C7" s="131">
        <v>75</v>
      </c>
      <c r="D7" s="131">
        <v>74</v>
      </c>
      <c r="E7" s="131">
        <v>30</v>
      </c>
      <c r="F7" s="131">
        <v>68</v>
      </c>
      <c r="G7" s="131">
        <v>41</v>
      </c>
      <c r="H7" s="131">
        <v>58</v>
      </c>
      <c r="I7" s="268">
        <v>68</v>
      </c>
      <c r="J7" s="30">
        <f t="shared" ref="J7:J9" si="1">C7/C$9</f>
        <v>0.10504201680672269</v>
      </c>
      <c r="K7" s="30">
        <f t="shared" si="0"/>
        <v>0.13143872113676733</v>
      </c>
      <c r="L7" s="30">
        <f t="shared" si="0"/>
        <v>0.11627906976744186</v>
      </c>
      <c r="M7" s="30">
        <f t="shared" si="0"/>
        <v>0.22368421052631579</v>
      </c>
      <c r="N7" s="30">
        <f t="shared" si="0"/>
        <v>0.12576687116564417</v>
      </c>
      <c r="O7" s="30">
        <f t="shared" si="0"/>
        <v>0.14609571788413098</v>
      </c>
      <c r="P7" s="30">
        <f t="shared" si="0"/>
        <v>0.19263456090651557</v>
      </c>
    </row>
    <row r="8" spans="1:16" x14ac:dyDescent="0.2">
      <c r="A8" s="111" t="s">
        <v>81</v>
      </c>
      <c r="B8" s="111" t="s">
        <v>110</v>
      </c>
      <c r="C8" s="131">
        <v>24</v>
      </c>
      <c r="D8" s="131">
        <v>28</v>
      </c>
      <c r="E8" s="131">
        <v>37</v>
      </c>
      <c r="F8" s="131">
        <v>52</v>
      </c>
      <c r="G8" s="131">
        <v>54</v>
      </c>
      <c r="H8" s="131">
        <v>90</v>
      </c>
      <c r="I8" s="268">
        <v>65</v>
      </c>
      <c r="J8" s="30">
        <f t="shared" si="1"/>
        <v>3.3613445378151259E-2</v>
      </c>
      <c r="K8" s="30">
        <f t="shared" si="0"/>
        <v>4.9733570159857902E-2</v>
      </c>
      <c r="L8" s="30">
        <f t="shared" si="0"/>
        <v>0.1434108527131783</v>
      </c>
      <c r="M8" s="30">
        <f t="shared" si="0"/>
        <v>0.17105263157894737</v>
      </c>
      <c r="N8" s="30">
        <f t="shared" si="0"/>
        <v>0.16564417177914109</v>
      </c>
      <c r="O8" s="30">
        <f t="shared" si="0"/>
        <v>0.22670025188916876</v>
      </c>
      <c r="P8" s="30">
        <f t="shared" si="0"/>
        <v>0.18413597733711048</v>
      </c>
    </row>
    <row r="9" spans="1:16" x14ac:dyDescent="0.2">
      <c r="A9" s="112" t="s">
        <v>81</v>
      </c>
      <c r="B9" s="112" t="s">
        <v>36</v>
      </c>
      <c r="C9" s="146">
        <v>714</v>
      </c>
      <c r="D9" s="146">
        <v>563</v>
      </c>
      <c r="E9" s="146">
        <v>258</v>
      </c>
      <c r="F9" s="146">
        <v>304</v>
      </c>
      <c r="G9" s="146">
        <v>326</v>
      </c>
      <c r="H9" s="146">
        <v>397</v>
      </c>
      <c r="I9" s="272">
        <v>353</v>
      </c>
      <c r="J9" s="115">
        <f t="shared" si="1"/>
        <v>1</v>
      </c>
      <c r="K9" s="115">
        <f t="shared" si="0"/>
        <v>1</v>
      </c>
      <c r="L9" s="115">
        <f t="shared" si="0"/>
        <v>1</v>
      </c>
      <c r="M9" s="115">
        <f t="shared" si="0"/>
        <v>1</v>
      </c>
      <c r="N9" s="115">
        <f t="shared" si="0"/>
        <v>1</v>
      </c>
      <c r="O9" s="115">
        <f t="shared" si="0"/>
        <v>1</v>
      </c>
      <c r="P9" s="115">
        <f t="shared" si="0"/>
        <v>1</v>
      </c>
    </row>
    <row r="10" spans="1:16" x14ac:dyDescent="0.2">
      <c r="A10" s="112" t="s">
        <v>81</v>
      </c>
      <c r="B10" s="122" t="s">
        <v>96</v>
      </c>
      <c r="C10" s="156">
        <v>57</v>
      </c>
      <c r="D10" s="156">
        <v>61</v>
      </c>
      <c r="E10" s="156">
        <v>69</v>
      </c>
      <c r="F10" s="156">
        <v>119</v>
      </c>
      <c r="G10" s="156">
        <v>88</v>
      </c>
      <c r="H10" s="156">
        <v>109</v>
      </c>
      <c r="I10" s="283">
        <v>105</v>
      </c>
      <c r="J10" s="150" t="s">
        <v>37</v>
      </c>
      <c r="K10" s="150" t="s">
        <v>37</v>
      </c>
      <c r="L10" s="150" t="s">
        <v>37</v>
      </c>
      <c r="M10" s="150" t="s">
        <v>37</v>
      </c>
      <c r="N10" s="150" t="s">
        <v>37</v>
      </c>
      <c r="O10" s="157" t="s">
        <v>37</v>
      </c>
      <c r="P10" s="157" t="s">
        <v>37</v>
      </c>
    </row>
    <row r="11" spans="1:16" x14ac:dyDescent="0.2">
      <c r="A11" s="148" t="s">
        <v>82</v>
      </c>
      <c r="B11" s="111" t="s">
        <v>87</v>
      </c>
      <c r="C11" s="131">
        <v>942</v>
      </c>
      <c r="D11" s="131">
        <v>863</v>
      </c>
      <c r="E11" s="131">
        <v>543</v>
      </c>
      <c r="F11" s="131">
        <v>469</v>
      </c>
      <c r="G11" s="131">
        <v>502</v>
      </c>
      <c r="H11" s="131">
        <v>515</v>
      </c>
      <c r="I11" s="268">
        <v>491</v>
      </c>
      <c r="J11" s="30">
        <f>C11/C$15</f>
        <v>0.58400495970241784</v>
      </c>
      <c r="K11" s="30">
        <f t="shared" ref="K11:P15" si="2">D11/D$15</f>
        <v>0.58627717391304346</v>
      </c>
      <c r="L11" s="30">
        <f t="shared" si="2"/>
        <v>0.54903943377148634</v>
      </c>
      <c r="M11" s="30">
        <f t="shared" si="2"/>
        <v>0.57264957264957261</v>
      </c>
      <c r="N11" s="30">
        <f t="shared" si="2"/>
        <v>0.64774193548387093</v>
      </c>
      <c r="O11" s="30">
        <f t="shared" si="2"/>
        <v>0.60375146541617819</v>
      </c>
      <c r="P11" s="30">
        <f t="shared" si="2"/>
        <v>0.61375000000000002</v>
      </c>
    </row>
    <row r="12" spans="1:16" x14ac:dyDescent="0.2">
      <c r="A12" s="111" t="s">
        <v>82</v>
      </c>
      <c r="B12" s="111" t="s">
        <v>88</v>
      </c>
      <c r="C12" s="131">
        <v>359</v>
      </c>
      <c r="D12" s="131">
        <v>297</v>
      </c>
      <c r="E12" s="131">
        <v>191</v>
      </c>
      <c r="F12" s="131">
        <v>149</v>
      </c>
      <c r="G12" s="131">
        <v>132</v>
      </c>
      <c r="H12" s="131">
        <v>172</v>
      </c>
      <c r="I12" s="268">
        <v>137</v>
      </c>
      <c r="J12" s="30">
        <f t="shared" ref="J12:J15" si="3">C12/C$15</f>
        <v>0.22256664600123993</v>
      </c>
      <c r="K12" s="30">
        <f t="shared" si="2"/>
        <v>0.20176630434782608</v>
      </c>
      <c r="L12" s="30">
        <f t="shared" si="2"/>
        <v>0.19312436804853386</v>
      </c>
      <c r="M12" s="30">
        <f t="shared" si="2"/>
        <v>0.18192918192918192</v>
      </c>
      <c r="N12" s="30">
        <f t="shared" si="2"/>
        <v>0.17032258064516129</v>
      </c>
      <c r="O12" s="30">
        <f t="shared" si="2"/>
        <v>0.20164126611957797</v>
      </c>
      <c r="P12" s="30">
        <f t="shared" si="2"/>
        <v>0.17125000000000001</v>
      </c>
    </row>
    <row r="13" spans="1:16" x14ac:dyDescent="0.2">
      <c r="A13" s="111" t="s">
        <v>82</v>
      </c>
      <c r="B13" s="111" t="s">
        <v>89</v>
      </c>
      <c r="C13" s="131">
        <v>139</v>
      </c>
      <c r="D13" s="131">
        <v>143</v>
      </c>
      <c r="E13" s="131">
        <v>102</v>
      </c>
      <c r="F13" s="131">
        <v>97</v>
      </c>
      <c r="G13" s="131">
        <v>58</v>
      </c>
      <c r="H13" s="131">
        <v>80</v>
      </c>
      <c r="I13" s="268">
        <v>83</v>
      </c>
      <c r="J13" s="30">
        <f t="shared" si="3"/>
        <v>8.6174829510229381E-2</v>
      </c>
      <c r="K13" s="30">
        <f t="shared" si="2"/>
        <v>9.7146739130434784E-2</v>
      </c>
      <c r="L13" s="30">
        <f t="shared" si="2"/>
        <v>0.10313447927199192</v>
      </c>
      <c r="M13" s="30">
        <f>F13/F$15</f>
        <v>0.11843711843711843</v>
      </c>
      <c r="N13" s="30">
        <f t="shared" si="2"/>
        <v>7.483870967741936E-2</v>
      </c>
      <c r="O13" s="30">
        <f t="shared" si="2"/>
        <v>9.3786635404454866E-2</v>
      </c>
      <c r="P13" s="30">
        <f t="shared" si="2"/>
        <v>0.10375</v>
      </c>
    </row>
    <row r="14" spans="1:16" x14ac:dyDescent="0.2">
      <c r="A14" s="111" t="s">
        <v>82</v>
      </c>
      <c r="B14" s="111" t="s">
        <v>110</v>
      </c>
      <c r="C14" s="131">
        <v>173</v>
      </c>
      <c r="D14" s="131">
        <v>169</v>
      </c>
      <c r="E14" s="131">
        <v>153</v>
      </c>
      <c r="F14" s="131">
        <v>104</v>
      </c>
      <c r="G14" s="131">
        <v>83</v>
      </c>
      <c r="H14" s="131">
        <v>86</v>
      </c>
      <c r="I14" s="268">
        <v>89</v>
      </c>
      <c r="J14" s="30">
        <f t="shared" si="3"/>
        <v>0.10725356478611284</v>
      </c>
      <c r="K14" s="30">
        <f t="shared" si="2"/>
        <v>0.11480978260869565</v>
      </c>
      <c r="L14" s="30">
        <f t="shared" si="2"/>
        <v>0.15470171890798787</v>
      </c>
      <c r="M14" s="30">
        <f t="shared" si="2"/>
        <v>0.12698412698412698</v>
      </c>
      <c r="N14" s="30">
        <f t="shared" si="2"/>
        <v>0.10709677419354839</v>
      </c>
      <c r="O14" s="30">
        <f t="shared" si="2"/>
        <v>0.10082063305978899</v>
      </c>
      <c r="P14" s="30">
        <f t="shared" si="2"/>
        <v>0.11125</v>
      </c>
    </row>
    <row r="15" spans="1:16" x14ac:dyDescent="0.2">
      <c r="A15" s="112" t="s">
        <v>82</v>
      </c>
      <c r="B15" s="112" t="s">
        <v>36</v>
      </c>
      <c r="C15" s="146">
        <v>1613</v>
      </c>
      <c r="D15" s="146">
        <v>1472</v>
      </c>
      <c r="E15" s="146">
        <v>989</v>
      </c>
      <c r="F15" s="146">
        <v>819</v>
      </c>
      <c r="G15" s="146">
        <v>775</v>
      </c>
      <c r="H15" s="146">
        <v>853</v>
      </c>
      <c r="I15" s="272">
        <v>800</v>
      </c>
      <c r="J15" s="115">
        <f t="shared" si="3"/>
        <v>1</v>
      </c>
      <c r="K15" s="115">
        <f t="shared" si="2"/>
        <v>1</v>
      </c>
      <c r="L15" s="115">
        <f t="shared" si="2"/>
        <v>1</v>
      </c>
      <c r="M15" s="115">
        <f t="shared" si="2"/>
        <v>1</v>
      </c>
      <c r="N15" s="115">
        <f t="shared" si="2"/>
        <v>1</v>
      </c>
      <c r="O15" s="115">
        <f t="shared" si="2"/>
        <v>1</v>
      </c>
      <c r="P15" s="115">
        <f t="shared" si="2"/>
        <v>1</v>
      </c>
    </row>
    <row r="16" spans="1:16" x14ac:dyDescent="0.2">
      <c r="A16" s="122" t="s">
        <v>82</v>
      </c>
      <c r="B16" s="122" t="s">
        <v>96</v>
      </c>
      <c r="C16" s="156">
        <v>90</v>
      </c>
      <c r="D16" s="156">
        <v>90</v>
      </c>
      <c r="E16" s="156">
        <v>90</v>
      </c>
      <c r="F16" s="156">
        <v>89</v>
      </c>
      <c r="G16" s="156">
        <v>62</v>
      </c>
      <c r="H16" s="156">
        <v>70</v>
      </c>
      <c r="I16" s="283">
        <v>67.5</v>
      </c>
      <c r="J16" s="150" t="s">
        <v>37</v>
      </c>
      <c r="K16" s="150" t="s">
        <v>37</v>
      </c>
      <c r="L16" s="150" t="s">
        <v>37</v>
      </c>
      <c r="M16" s="150" t="s">
        <v>37</v>
      </c>
      <c r="N16" s="150" t="s">
        <v>37</v>
      </c>
      <c r="O16" s="157" t="s">
        <v>37</v>
      </c>
      <c r="P16" s="157" t="s">
        <v>37</v>
      </c>
    </row>
    <row r="17" spans="1:16" x14ac:dyDescent="0.2">
      <c r="A17" s="111" t="s">
        <v>84</v>
      </c>
      <c r="B17" s="111" t="s">
        <v>87</v>
      </c>
      <c r="C17" s="131">
        <v>124</v>
      </c>
      <c r="D17" s="131">
        <v>120</v>
      </c>
      <c r="E17" s="131">
        <v>80</v>
      </c>
      <c r="F17" s="131">
        <v>99</v>
      </c>
      <c r="G17" s="131">
        <v>46</v>
      </c>
      <c r="H17" s="131">
        <v>34</v>
      </c>
      <c r="I17" s="268">
        <v>35</v>
      </c>
      <c r="J17" s="30">
        <f>C17/C$21</f>
        <v>0.3415977961432507</v>
      </c>
      <c r="K17" s="30">
        <f t="shared" ref="K17:P21" si="4">D17/D$21</f>
        <v>0.33333333333333331</v>
      </c>
      <c r="L17" s="30">
        <f t="shared" si="4"/>
        <v>0.27027027027027029</v>
      </c>
      <c r="M17" s="30">
        <f t="shared" si="4"/>
        <v>0.36802973977695169</v>
      </c>
      <c r="N17" s="30">
        <f t="shared" si="4"/>
        <v>0.29677419354838708</v>
      </c>
      <c r="O17" s="30">
        <f t="shared" si="4"/>
        <v>0.20606060606060606</v>
      </c>
      <c r="P17" s="30">
        <f t="shared" si="4"/>
        <v>0.18421052631578946</v>
      </c>
    </row>
    <row r="18" spans="1:16" x14ac:dyDescent="0.2">
      <c r="A18" s="111" t="s">
        <v>84</v>
      </c>
      <c r="B18" s="111" t="s">
        <v>88</v>
      </c>
      <c r="C18" s="131">
        <v>85</v>
      </c>
      <c r="D18" s="131">
        <v>83</v>
      </c>
      <c r="E18" s="131">
        <v>62</v>
      </c>
      <c r="F18" s="131">
        <v>67</v>
      </c>
      <c r="G18" s="131">
        <v>42</v>
      </c>
      <c r="H18" s="131">
        <v>37</v>
      </c>
      <c r="I18" s="268">
        <v>56</v>
      </c>
      <c r="J18" s="30">
        <f t="shared" ref="J18:J21" si="5">C18/C$21</f>
        <v>0.23415977961432508</v>
      </c>
      <c r="K18" s="30">
        <f t="shared" si="4"/>
        <v>0.23055555555555557</v>
      </c>
      <c r="L18" s="30">
        <f t="shared" si="4"/>
        <v>0.20945945945945946</v>
      </c>
      <c r="M18" s="30">
        <f t="shared" si="4"/>
        <v>0.24907063197026022</v>
      </c>
      <c r="N18" s="30">
        <f t="shared" si="4"/>
        <v>0.2709677419354839</v>
      </c>
      <c r="O18" s="30">
        <f t="shared" si="4"/>
        <v>0.22424242424242424</v>
      </c>
      <c r="P18" s="30">
        <f t="shared" si="4"/>
        <v>0.29473684210526313</v>
      </c>
    </row>
    <row r="19" spans="1:16" x14ac:dyDescent="0.2">
      <c r="A19" s="111" t="s">
        <v>84</v>
      </c>
      <c r="B19" s="111" t="s">
        <v>89</v>
      </c>
      <c r="C19" s="131">
        <v>51</v>
      </c>
      <c r="D19" s="131">
        <v>48</v>
      </c>
      <c r="E19" s="131">
        <v>48</v>
      </c>
      <c r="F19" s="131">
        <v>33</v>
      </c>
      <c r="G19" s="131">
        <v>27</v>
      </c>
      <c r="H19" s="131">
        <v>20</v>
      </c>
      <c r="I19" s="268">
        <v>24</v>
      </c>
      <c r="J19" s="30">
        <f t="shared" si="5"/>
        <v>0.14049586776859505</v>
      </c>
      <c r="K19" s="30">
        <f t="shared" si="4"/>
        <v>0.13333333333333333</v>
      </c>
      <c r="L19" s="30">
        <f t="shared" si="4"/>
        <v>0.16216216216216217</v>
      </c>
      <c r="M19" s="30">
        <f>F19/F$21</f>
        <v>0.12267657992565056</v>
      </c>
      <c r="N19" s="30">
        <f t="shared" si="4"/>
        <v>0.17419354838709677</v>
      </c>
      <c r="O19" s="30">
        <f t="shared" si="4"/>
        <v>0.12121212121212122</v>
      </c>
      <c r="P19" s="30">
        <f t="shared" si="4"/>
        <v>0.12631578947368421</v>
      </c>
    </row>
    <row r="20" spans="1:16" x14ac:dyDescent="0.2">
      <c r="A20" s="111" t="s">
        <v>84</v>
      </c>
      <c r="B20" s="111" t="s">
        <v>110</v>
      </c>
      <c r="C20" s="131">
        <v>103</v>
      </c>
      <c r="D20" s="131">
        <v>109</v>
      </c>
      <c r="E20" s="131">
        <v>106</v>
      </c>
      <c r="F20" s="131">
        <v>70</v>
      </c>
      <c r="G20" s="131">
        <v>40</v>
      </c>
      <c r="H20" s="131">
        <v>74</v>
      </c>
      <c r="I20" s="268">
        <v>75</v>
      </c>
      <c r="J20" s="30">
        <f t="shared" si="5"/>
        <v>0.28374655647382918</v>
      </c>
      <c r="K20" s="30">
        <f t="shared" si="4"/>
        <v>0.30277777777777776</v>
      </c>
      <c r="L20" s="30">
        <f t="shared" si="4"/>
        <v>0.35810810810810811</v>
      </c>
      <c r="M20" s="30">
        <f t="shared" si="4"/>
        <v>0.26022304832713755</v>
      </c>
      <c r="N20" s="30">
        <f t="shared" si="4"/>
        <v>0.25806451612903225</v>
      </c>
      <c r="O20" s="30">
        <f t="shared" si="4"/>
        <v>0.44848484848484849</v>
      </c>
      <c r="P20" s="30">
        <f t="shared" si="4"/>
        <v>0.39473684210526316</v>
      </c>
    </row>
    <row r="21" spans="1:16" x14ac:dyDescent="0.2">
      <c r="A21" s="112" t="s">
        <v>84</v>
      </c>
      <c r="B21" s="112" t="s">
        <v>36</v>
      </c>
      <c r="C21" s="146">
        <v>363</v>
      </c>
      <c r="D21" s="146">
        <v>360</v>
      </c>
      <c r="E21" s="146">
        <v>296</v>
      </c>
      <c r="F21" s="146">
        <v>269</v>
      </c>
      <c r="G21" s="146">
        <v>155</v>
      </c>
      <c r="H21" s="146">
        <v>165</v>
      </c>
      <c r="I21" s="272">
        <v>190</v>
      </c>
      <c r="J21" s="115">
        <f t="shared" si="5"/>
        <v>1</v>
      </c>
      <c r="K21" s="115">
        <f t="shared" si="4"/>
        <v>1</v>
      </c>
      <c r="L21" s="115">
        <f t="shared" si="4"/>
        <v>1</v>
      </c>
      <c r="M21" s="115">
        <f t="shared" si="4"/>
        <v>1</v>
      </c>
      <c r="N21" s="115">
        <f t="shared" si="4"/>
        <v>1</v>
      </c>
      <c r="O21" s="115">
        <f t="shared" si="4"/>
        <v>1</v>
      </c>
      <c r="P21" s="115">
        <f t="shared" si="4"/>
        <v>1</v>
      </c>
    </row>
    <row r="22" spans="1:16" x14ac:dyDescent="0.2">
      <c r="A22" s="119" t="s">
        <v>84</v>
      </c>
      <c r="B22" s="119" t="s">
        <v>96</v>
      </c>
      <c r="C22" s="147">
        <v>139</v>
      </c>
      <c r="D22" s="147">
        <v>153</v>
      </c>
      <c r="E22" s="147">
        <v>187</v>
      </c>
      <c r="F22" s="147">
        <v>140</v>
      </c>
      <c r="G22" s="147">
        <v>147</v>
      </c>
      <c r="H22" s="147">
        <v>229</v>
      </c>
      <c r="I22" s="280">
        <v>188.5</v>
      </c>
      <c r="J22" s="149" t="s">
        <v>37</v>
      </c>
      <c r="K22" s="150" t="s">
        <v>37</v>
      </c>
      <c r="L22" s="150" t="s">
        <v>37</v>
      </c>
      <c r="M22" s="150" t="s">
        <v>37</v>
      </c>
      <c r="N22" s="150" t="s">
        <v>37</v>
      </c>
      <c r="O22" s="157" t="s">
        <v>37</v>
      </c>
      <c r="P22" s="157" t="s">
        <v>37</v>
      </c>
    </row>
  </sheetData>
  <phoneticPr fontId="19" type="noConversion"/>
  <pageMargins left="0.7" right="0.7" top="0.75" bottom="0.75" header="0.3" footer="0.3"/>
  <tableParts count="1">
    <tablePart r:id="rId1"/>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0B886E-4E4B-426F-B5E7-F4F2076411E8}">
  <sheetPr codeName="Sheet22"/>
  <dimension ref="A1:K29"/>
  <sheetViews>
    <sheetView workbookViewId="0"/>
  </sheetViews>
  <sheetFormatPr defaultColWidth="9.33203125" defaultRowHeight="15" x14ac:dyDescent="0.25"/>
  <cols>
    <col min="1" max="1" width="24.109375" style="158" bestFit="1" customWidth="1"/>
    <col min="2" max="2" width="9.6640625" style="158" customWidth="1"/>
    <col min="3" max="9" width="12" style="158" customWidth="1"/>
    <col min="10" max="16384" width="9.33203125" style="158"/>
  </cols>
  <sheetData>
    <row r="1" spans="1:11" ht="15.75" x14ac:dyDescent="0.25">
      <c r="A1" s="38" t="s">
        <v>342</v>
      </c>
      <c r="B1" s="160"/>
      <c r="C1" s="160"/>
      <c r="D1" s="160"/>
      <c r="E1" s="160"/>
      <c r="F1" s="160"/>
      <c r="G1" s="160"/>
      <c r="H1" s="160"/>
      <c r="I1" s="160"/>
    </row>
    <row r="2" spans="1:11" ht="15.75" x14ac:dyDescent="0.25">
      <c r="A2" s="99" t="s">
        <v>121</v>
      </c>
      <c r="B2" s="160"/>
      <c r="C2" s="160"/>
      <c r="D2" s="160"/>
      <c r="E2" s="160"/>
      <c r="F2" s="160"/>
      <c r="G2" s="160"/>
      <c r="H2" s="160"/>
      <c r="I2" s="160"/>
    </row>
    <row r="3" spans="1:11" x14ac:dyDescent="0.25">
      <c r="A3" s="39" t="s">
        <v>250</v>
      </c>
      <c r="B3" s="160"/>
      <c r="C3" s="160"/>
      <c r="D3" s="160"/>
      <c r="E3" s="160"/>
      <c r="F3" s="160"/>
      <c r="G3" s="160"/>
      <c r="H3" s="160"/>
      <c r="I3" s="160"/>
    </row>
    <row r="4" spans="1:11" ht="15.75" x14ac:dyDescent="0.25">
      <c r="A4" s="161" t="s">
        <v>275</v>
      </c>
      <c r="B4" s="160"/>
      <c r="C4" s="160"/>
      <c r="D4" s="160"/>
      <c r="E4" s="160"/>
      <c r="F4" s="160"/>
      <c r="G4" s="160"/>
      <c r="H4" s="160"/>
      <c r="I4" s="160"/>
    </row>
    <row r="5" spans="1:11" ht="15.75" x14ac:dyDescent="0.25">
      <c r="A5" s="161" t="s">
        <v>194</v>
      </c>
      <c r="B5" s="160"/>
      <c r="C5" s="160"/>
      <c r="D5" s="160"/>
      <c r="E5" s="160"/>
      <c r="F5" s="160"/>
      <c r="G5" s="160"/>
      <c r="H5" s="160"/>
      <c r="I5" s="160"/>
    </row>
    <row r="6" spans="1:11" ht="109.5" customHeight="1" x14ac:dyDescent="0.25">
      <c r="A6" s="162" t="s">
        <v>195</v>
      </c>
      <c r="B6" s="163" t="s">
        <v>196</v>
      </c>
      <c r="C6" s="164" t="s">
        <v>256</v>
      </c>
      <c r="D6" s="164" t="s">
        <v>197</v>
      </c>
      <c r="E6" s="164" t="s">
        <v>251</v>
      </c>
      <c r="F6" s="164" t="s">
        <v>252</v>
      </c>
      <c r="G6" s="164" t="s">
        <v>198</v>
      </c>
      <c r="H6" s="164" t="s">
        <v>253</v>
      </c>
      <c r="I6" s="164" t="s">
        <v>254</v>
      </c>
    </row>
    <row r="7" spans="1:11" x14ac:dyDescent="0.25">
      <c r="A7" s="165" t="s">
        <v>199</v>
      </c>
      <c r="B7" s="165">
        <v>2021</v>
      </c>
      <c r="C7" s="242">
        <v>650.03969883641366</v>
      </c>
      <c r="D7" s="242">
        <v>5147</v>
      </c>
      <c r="E7" s="242">
        <v>1033</v>
      </c>
      <c r="F7" s="245" t="s">
        <v>37</v>
      </c>
      <c r="G7" s="166">
        <f>100*BM_ChildrenYoungPeople_Incidents[[#This Row],[Number of incidents in year]]/C7</f>
        <v>791.79779469057826</v>
      </c>
      <c r="H7" s="168">
        <f>BM_ChildrenYoungPeople_Incidents[[#This Row],[Number of incidents in year]]/BM_ChildrenYoungPeople_Incidents[[#This Row],[Number of unique children and young adults involved per year '[assaults as assailants'] '[note 18']]]</f>
        <v>4.9825750242013553</v>
      </c>
      <c r="I7" s="167" t="s">
        <v>37</v>
      </c>
    </row>
    <row r="8" spans="1:11" x14ac:dyDescent="0.25">
      <c r="A8" s="165" t="s">
        <v>199</v>
      </c>
      <c r="B8" s="165">
        <v>2022</v>
      </c>
      <c r="C8" s="242">
        <v>523.24161533196445</v>
      </c>
      <c r="D8" s="242">
        <v>4987</v>
      </c>
      <c r="E8" s="242">
        <v>916</v>
      </c>
      <c r="F8" s="245" t="s">
        <v>37</v>
      </c>
      <c r="G8" s="166">
        <f>100*BM_ChildrenYoungPeople_Incidents[[#This Row],[Number of incidents in year]]/C8</f>
        <v>953.09697353412093</v>
      </c>
      <c r="H8" s="168">
        <f>BM_ChildrenYoungPeople_Incidents[[#This Row],[Number of incidents in year]]/BM_ChildrenYoungPeople_Incidents[[#This Row],[Number of unique children and young adults involved per year '[assaults as assailants'] '[note 18']]]</f>
        <v>5.4443231441048034</v>
      </c>
      <c r="I8" s="167" t="s">
        <v>37</v>
      </c>
    </row>
    <row r="9" spans="1:11" x14ac:dyDescent="0.25">
      <c r="A9" s="165" t="s">
        <v>199</v>
      </c>
      <c r="B9" s="165">
        <v>2023</v>
      </c>
      <c r="C9" s="242">
        <v>502.5516769336071</v>
      </c>
      <c r="D9" s="242">
        <v>4553</v>
      </c>
      <c r="E9" s="242">
        <v>843</v>
      </c>
      <c r="F9" s="245" t="s">
        <v>37</v>
      </c>
      <c r="G9" s="166">
        <f>100*BM_ChildrenYoungPeople_Incidents[[#This Row],[Number of incidents in year]]/C9</f>
        <v>905.97648141994046</v>
      </c>
      <c r="H9" s="168">
        <f>BM_ChildrenYoungPeople_Incidents[[#This Row],[Number of incidents in year]]/BM_ChildrenYoungPeople_Incidents[[#This Row],[Number of unique children and young adults involved per year '[assaults as assailants'] '[note 18']]]</f>
        <v>5.4009489916963229</v>
      </c>
      <c r="I9" s="167" t="s">
        <v>37</v>
      </c>
    </row>
    <row r="10" spans="1:11" x14ac:dyDescent="0.25">
      <c r="A10" s="165" t="s">
        <v>199</v>
      </c>
      <c r="B10" s="165">
        <v>2024</v>
      </c>
      <c r="C10" s="242">
        <v>582.86652977412723</v>
      </c>
      <c r="D10" s="242">
        <v>5226</v>
      </c>
      <c r="E10" s="242">
        <v>901</v>
      </c>
      <c r="F10" s="245" t="s">
        <v>37</v>
      </c>
      <c r="G10" s="166">
        <f>100*BM_ChildrenYoungPeople_Incidents[[#This Row],[Number of incidents in year]]/C10</f>
        <v>896.6032072600193</v>
      </c>
      <c r="H10" s="168">
        <f>BM_ChildrenYoungPeople_Incidents[[#This Row],[Number of incidents in year]]/BM_ChildrenYoungPeople_Incidents[[#This Row],[Number of unique children and young adults involved per year '[assaults as assailants'] '[note 18']]]</f>
        <v>5.8002219755826863</v>
      </c>
      <c r="I10" s="167" t="s">
        <v>37</v>
      </c>
    </row>
    <row r="11" spans="1:11" x14ac:dyDescent="0.25">
      <c r="A11" s="172" t="s">
        <v>199</v>
      </c>
      <c r="B11" s="172">
        <v>2025</v>
      </c>
      <c r="C11" s="243">
        <v>522.06707734428483</v>
      </c>
      <c r="D11" s="243">
        <v>4730</v>
      </c>
      <c r="E11" s="243">
        <v>863</v>
      </c>
      <c r="F11" s="246" t="s">
        <v>37</v>
      </c>
      <c r="G11" s="173">
        <f>100*BM_ChildrenYoungPeople_Incidents[[#This Row],[Number of incidents in year]]/C11</f>
        <v>906.01384482261301</v>
      </c>
      <c r="H11" s="175">
        <f>BM_ChildrenYoungPeople_Incidents[[#This Row],[Number of incidents in year]]/BM_ChildrenYoungPeople_Incidents[[#This Row],[Number of unique children and young adults involved per year '[assaults as assailants'] '[note 18']]]</f>
        <v>5.4808806488991886</v>
      </c>
      <c r="I11" s="174" t="s">
        <v>37</v>
      </c>
      <c r="K11" s="248"/>
    </row>
    <row r="12" spans="1:11" x14ac:dyDescent="0.25">
      <c r="A12" s="169" t="s">
        <v>202</v>
      </c>
      <c r="B12" s="169">
        <v>2020</v>
      </c>
      <c r="C12" s="244">
        <v>861.59342915811135</v>
      </c>
      <c r="D12" s="244">
        <v>2494</v>
      </c>
      <c r="E12" s="244">
        <v>414</v>
      </c>
      <c r="F12" s="247" t="s">
        <v>37</v>
      </c>
      <c r="G12" s="170">
        <f>100*BM_ChildrenYoungPeople_Incidents[[#This Row],[Number of incidents in year]]/C12</f>
        <v>289.46367458221704</v>
      </c>
      <c r="H12" s="176">
        <f>BM_ChildrenYoungPeople_Incidents[[#This Row],[Number of incidents in year]]/BM_ChildrenYoungPeople_Incidents[[#This Row],[Number of unique children and young adults involved per year '[assaults as assailants'] '[note 18']]]</f>
        <v>6.0241545893719808</v>
      </c>
      <c r="I12" s="171" t="s">
        <v>37</v>
      </c>
    </row>
    <row r="13" spans="1:11" x14ac:dyDescent="0.25">
      <c r="A13" s="165" t="s">
        <v>202</v>
      </c>
      <c r="B13" s="165">
        <v>2021</v>
      </c>
      <c r="C13" s="242">
        <v>650.03969883641366</v>
      </c>
      <c r="D13" s="242">
        <v>1455</v>
      </c>
      <c r="E13" s="242">
        <v>249</v>
      </c>
      <c r="F13" s="245" t="s">
        <v>37</v>
      </c>
      <c r="G13" s="166">
        <f>100*BM_ChildrenYoungPeople_Incidents[[#This Row],[Number of incidents in year]]/C13</f>
        <v>223.83248324748229</v>
      </c>
      <c r="H13" s="168">
        <f>BM_ChildrenYoungPeople_Incidents[[#This Row],[Number of incidents in year]]/BM_ChildrenYoungPeople_Incidents[[#This Row],[Number of unique children and young adults involved per year '[assaults as assailants'] '[note 18']]]</f>
        <v>5.8433734939759034</v>
      </c>
      <c r="I13" s="167" t="s">
        <v>37</v>
      </c>
    </row>
    <row r="14" spans="1:11" x14ac:dyDescent="0.25">
      <c r="A14" s="165" t="s">
        <v>202</v>
      </c>
      <c r="B14" s="165">
        <v>2022</v>
      </c>
      <c r="C14" s="242">
        <v>523.24161533196445</v>
      </c>
      <c r="D14" s="242">
        <v>1511</v>
      </c>
      <c r="E14" s="242">
        <v>253</v>
      </c>
      <c r="F14" s="245" t="s">
        <v>37</v>
      </c>
      <c r="G14" s="166">
        <f>100*BM_ChildrenYoungPeople_Incidents[[#This Row],[Number of incidents in year]]/C14</f>
        <v>288.77672488671681</v>
      </c>
      <c r="H14" s="168">
        <f>BM_ChildrenYoungPeople_Incidents[[#This Row],[Number of incidents in year]]/BM_ChildrenYoungPeople_Incidents[[#This Row],[Number of unique children and young adults involved per year '[assaults as assailants'] '[note 18']]]</f>
        <v>5.9723320158102764</v>
      </c>
      <c r="I14" s="167" t="s">
        <v>37</v>
      </c>
    </row>
    <row r="15" spans="1:11" x14ac:dyDescent="0.25">
      <c r="A15" s="165" t="s">
        <v>202</v>
      </c>
      <c r="B15" s="165">
        <v>2023</v>
      </c>
      <c r="C15" s="242">
        <v>502.5516769336071</v>
      </c>
      <c r="D15" s="242">
        <v>1926</v>
      </c>
      <c r="E15" s="242">
        <v>228</v>
      </c>
      <c r="F15" s="245" t="s">
        <v>37</v>
      </c>
      <c r="G15" s="166">
        <f>100*BM_ChildrenYoungPeople_Incidents[[#This Row],[Number of incidents in year]]/C15</f>
        <v>383.24416938607629</v>
      </c>
      <c r="H15" s="168">
        <f>BM_ChildrenYoungPeople_Incidents[[#This Row],[Number of incidents in year]]/BM_ChildrenYoungPeople_Incidents[[#This Row],[Number of unique children and young adults involved per year '[assaults as assailants'] '[note 18']]]</f>
        <v>8.4473684210526319</v>
      </c>
      <c r="I15" s="167" t="s">
        <v>37</v>
      </c>
    </row>
    <row r="16" spans="1:11" x14ac:dyDescent="0.25">
      <c r="A16" s="165" t="s">
        <v>202</v>
      </c>
      <c r="B16" s="165">
        <v>2024</v>
      </c>
      <c r="C16" s="242">
        <v>582.86652977412723</v>
      </c>
      <c r="D16" s="242">
        <v>2139</v>
      </c>
      <c r="E16" s="242">
        <v>241</v>
      </c>
      <c r="F16" s="245" t="s">
        <v>37</v>
      </c>
      <c r="G16" s="166">
        <f>100*BM_ChildrenYoungPeople_Incidents[[#This Row],[Number of incidents in year]]/C16</f>
        <v>366.97938391296998</v>
      </c>
      <c r="H16" s="168">
        <f>BM_ChildrenYoungPeople_Incidents[[#This Row],[Number of incidents in year]]/BM_ChildrenYoungPeople_Incidents[[#This Row],[Number of unique children and young adults involved per year '[assaults as assailants'] '[note 18']]]</f>
        <v>8.8755186721991706</v>
      </c>
      <c r="I16" s="167" t="s">
        <v>37</v>
      </c>
    </row>
    <row r="17" spans="1:11" x14ac:dyDescent="0.25">
      <c r="A17" s="172" t="s">
        <v>202</v>
      </c>
      <c r="B17" s="172">
        <v>2025</v>
      </c>
      <c r="C17" s="243">
        <v>522.06707734428483</v>
      </c>
      <c r="D17" s="243">
        <v>1715</v>
      </c>
      <c r="E17" s="243">
        <v>233</v>
      </c>
      <c r="F17" s="246" t="s">
        <v>37</v>
      </c>
      <c r="G17" s="173">
        <f>100*BM_ChildrenYoungPeople_Incidents[[#This Row],[Number of incidents in year]]/C17</f>
        <v>328.50184859847388</v>
      </c>
      <c r="H17" s="175">
        <f>BM_ChildrenYoungPeople_Incidents[[#This Row],[Number of incidents in year]]/BM_ChildrenYoungPeople_Incidents[[#This Row],[Number of unique children and young adults involved per year '[assaults as assailants'] '[note 18']]]</f>
        <v>7.3605150214592276</v>
      </c>
      <c r="I17" s="174" t="s">
        <v>37</v>
      </c>
      <c r="K17" s="248"/>
    </row>
    <row r="18" spans="1:11" x14ac:dyDescent="0.25">
      <c r="A18" s="169" t="s">
        <v>255</v>
      </c>
      <c r="B18" s="169">
        <v>2020</v>
      </c>
      <c r="C18" s="244">
        <v>861.59342915811135</v>
      </c>
      <c r="D18" s="244">
        <v>3830</v>
      </c>
      <c r="E18" s="244">
        <v>1298</v>
      </c>
      <c r="F18" s="244">
        <v>729</v>
      </c>
      <c r="G18" s="170">
        <f>100*BM_ChildrenYoungPeople_Incidents[[#This Row],[Number of incidents in year]]/C18</f>
        <v>444.52520996386977</v>
      </c>
      <c r="H18" s="176">
        <f>BM_ChildrenYoungPeople_Incidents[[#This Row],[Number of incidents in year]]/BM_ChildrenYoungPeople_Incidents[[#This Row],[Number of unique children and young adults involved per year '[assaults as assailants'] '[note 18']]]</f>
        <v>2.9506933744221882</v>
      </c>
      <c r="I18" s="176">
        <f>BM_ChildrenYoungPeople_Incidents[[#This Row],[Number of incidents in year]]/BM_ChildrenYoungPeople_Incidents[[#This Row],[Number of unique children and young adults involved per year '[assaults as victims']'[note 18']]]</f>
        <v>5.2537722908093283</v>
      </c>
    </row>
    <row r="19" spans="1:11" x14ac:dyDescent="0.25">
      <c r="A19" s="165" t="s">
        <v>255</v>
      </c>
      <c r="B19" s="165">
        <v>2021</v>
      </c>
      <c r="C19" s="242">
        <v>650.03969883641366</v>
      </c>
      <c r="D19" s="242">
        <v>2086</v>
      </c>
      <c r="E19" s="242">
        <v>845</v>
      </c>
      <c r="F19" s="242">
        <v>362</v>
      </c>
      <c r="G19" s="166">
        <f>100*BM_ChildrenYoungPeople_Incidents[[#This Row],[Number of incidents in year]]/C19</f>
        <v>320.90347770051414</v>
      </c>
      <c r="H19" s="168">
        <f>BM_ChildrenYoungPeople_Incidents[[#This Row],[Number of incidents in year]]/BM_ChildrenYoungPeople_Incidents[[#This Row],[Number of unique children and young adults involved per year '[assaults as assailants'] '[note 18']]]</f>
        <v>2.4686390532544378</v>
      </c>
      <c r="I19" s="168">
        <f>BM_ChildrenYoungPeople_Incidents[[#This Row],[Number of incidents in year]]/BM_ChildrenYoungPeople_Incidents[[#This Row],[Number of unique children and young adults involved per year '[assaults as victims']'[note 18']]]</f>
        <v>5.7624309392265189</v>
      </c>
    </row>
    <row r="20" spans="1:11" x14ac:dyDescent="0.25">
      <c r="A20" s="165" t="s">
        <v>255</v>
      </c>
      <c r="B20" s="165">
        <v>2022</v>
      </c>
      <c r="C20" s="242">
        <v>523.24161533196445</v>
      </c>
      <c r="D20" s="242">
        <v>2100</v>
      </c>
      <c r="E20" s="242">
        <v>802</v>
      </c>
      <c r="F20" s="242">
        <v>366</v>
      </c>
      <c r="G20" s="166">
        <f>100*BM_ChildrenYoungPeople_Incidents[[#This Row],[Number of incidents in year]]/C20</f>
        <v>401.3442238663834</v>
      </c>
      <c r="H20" s="168">
        <f>BM_ChildrenYoungPeople_Incidents[[#This Row],[Number of incidents in year]]/BM_ChildrenYoungPeople_Incidents[[#This Row],[Number of unique children and young adults involved per year '[assaults as assailants'] '[note 18']]]</f>
        <v>2.6184538653366585</v>
      </c>
      <c r="I20" s="168">
        <f>BM_ChildrenYoungPeople_Incidents[[#This Row],[Number of incidents in year]]/BM_ChildrenYoungPeople_Incidents[[#This Row],[Number of unique children and young adults involved per year '[assaults as victims']'[note 18']]]</f>
        <v>5.7377049180327866</v>
      </c>
    </row>
    <row r="21" spans="1:11" x14ac:dyDescent="0.25">
      <c r="A21" s="165" t="s">
        <v>255</v>
      </c>
      <c r="B21" s="165">
        <v>2023</v>
      </c>
      <c r="C21" s="242">
        <v>502.5516769336071</v>
      </c>
      <c r="D21" s="242">
        <v>1936</v>
      </c>
      <c r="E21" s="242">
        <v>774</v>
      </c>
      <c r="F21" s="242">
        <v>405</v>
      </c>
      <c r="G21" s="166">
        <f>100*BM_ChildrenYoungPeople_Incidents[[#This Row],[Number of incidents in year]]/C21</f>
        <v>385.23401450230722</v>
      </c>
      <c r="H21" s="168">
        <f>BM_ChildrenYoungPeople_Incidents[[#This Row],[Number of incidents in year]]/BM_ChildrenYoungPeople_Incidents[[#This Row],[Number of unique children and young adults involved per year '[assaults as assailants'] '[note 18']]]</f>
        <v>2.5012919896640828</v>
      </c>
      <c r="I21" s="168">
        <f>BM_ChildrenYoungPeople_Incidents[[#This Row],[Number of incidents in year]]/BM_ChildrenYoungPeople_Incidents[[#This Row],[Number of unique children and young adults involved per year '[assaults as victims']'[note 18']]]</f>
        <v>4.780246913580247</v>
      </c>
    </row>
    <row r="22" spans="1:11" x14ac:dyDescent="0.25">
      <c r="A22" s="165" t="s">
        <v>255</v>
      </c>
      <c r="B22" s="165">
        <v>2024</v>
      </c>
      <c r="C22" s="242">
        <v>582.86652977412723</v>
      </c>
      <c r="D22" s="242">
        <v>2189</v>
      </c>
      <c r="E22" s="242">
        <v>831</v>
      </c>
      <c r="F22" s="242">
        <v>404</v>
      </c>
      <c r="G22" s="166">
        <f>100*BM_ChildrenYoungPeople_Incidents[[#This Row],[Number of incidents in year]]/C22</f>
        <v>375.557677132067</v>
      </c>
      <c r="H22" s="168">
        <f>BM_ChildrenYoungPeople_Incidents[[#This Row],[Number of incidents in year]]/BM_ChildrenYoungPeople_Incidents[[#This Row],[Number of unique children and young adults involved per year '[assaults as assailants'] '[note 18']]]</f>
        <v>2.6341756919374246</v>
      </c>
      <c r="I22" s="168">
        <f>BM_ChildrenYoungPeople_Incidents[[#This Row],[Number of incidents in year]]/BM_ChildrenYoungPeople_Incidents[[#This Row],[Number of unique children and young adults involved per year '[assaults as victims']'[note 18']]]</f>
        <v>5.4183168316831685</v>
      </c>
    </row>
    <row r="23" spans="1:11" x14ac:dyDescent="0.25">
      <c r="A23" s="172" t="s">
        <v>255</v>
      </c>
      <c r="B23" s="172">
        <v>2025</v>
      </c>
      <c r="C23" s="243">
        <v>522.06707734428483</v>
      </c>
      <c r="D23" s="243">
        <v>1997</v>
      </c>
      <c r="E23" s="243">
        <v>780</v>
      </c>
      <c r="F23" s="243">
        <v>391</v>
      </c>
      <c r="G23" s="173">
        <f>100*BM_ChildrenYoungPeople_Incidents[[#This Row],[Number of incidents in year]]/C23</f>
        <v>382.51789600650278</v>
      </c>
      <c r="H23" s="175">
        <f>BM_ChildrenYoungPeople_Incidents[[#This Row],[Number of incidents in year]]/BM_ChildrenYoungPeople_Incidents[[#This Row],[Number of unique children and young adults involved per year '[assaults as assailants'] '[note 18']]]</f>
        <v>2.56025641025641</v>
      </c>
      <c r="I23" s="175">
        <f>BM_ChildrenYoungPeople_Incidents[[#This Row],[Number of incidents in year]]/BM_ChildrenYoungPeople_Incidents[[#This Row],[Number of unique children and young adults involved per year '[assaults as victims']'[note 18']]]</f>
        <v>5.1074168797953963</v>
      </c>
    </row>
    <row r="24" spans="1:11" x14ac:dyDescent="0.25">
      <c r="A24" s="169" t="s">
        <v>249</v>
      </c>
      <c r="B24" s="169">
        <v>2020</v>
      </c>
      <c r="C24" s="244">
        <v>220.90983606557302</v>
      </c>
      <c r="D24" s="244">
        <v>1077</v>
      </c>
      <c r="E24" s="244">
        <v>234</v>
      </c>
      <c r="F24" s="247" t="s">
        <v>37</v>
      </c>
      <c r="G24" s="170">
        <f>100*BM_ChildrenYoungPeople_Incidents[[#This Row],[Number of incidents in year]]/C24</f>
        <v>487.52921969500369</v>
      </c>
      <c r="H24" s="176">
        <f>BM_ChildrenYoungPeople_Incidents[[#This Row],[Number of incidents in year]]/BM_ChildrenYoungPeople_Incidents[[#This Row],[Number of unique children and young adults involved per year '[assaults as assailants'] '[note 18']]]</f>
        <v>4.6025641025641022</v>
      </c>
      <c r="I24" s="171" t="s">
        <v>37</v>
      </c>
    </row>
    <row r="25" spans="1:11" x14ac:dyDescent="0.25">
      <c r="A25" s="165" t="s">
        <v>249</v>
      </c>
      <c r="B25" s="165">
        <v>2021</v>
      </c>
      <c r="C25" s="242">
        <v>157.6931506849316</v>
      </c>
      <c r="D25" s="242">
        <v>1090</v>
      </c>
      <c r="E25" s="242">
        <v>213</v>
      </c>
      <c r="F25" s="245" t="s">
        <v>37</v>
      </c>
      <c r="G25" s="166">
        <f>100*BM_ChildrenYoungPeople_Incidents[[#This Row],[Number of incidents in year]]/C25</f>
        <v>691.21581708884912</v>
      </c>
      <c r="H25" s="168">
        <f>BM_ChildrenYoungPeople_Incidents[[#This Row],[Number of incidents in year]]/BM_ChildrenYoungPeople_Incidents[[#This Row],[Number of unique children and young adults involved per year '[assaults as assailants'] '[note 18']]]</f>
        <v>5.117370892018779</v>
      </c>
      <c r="I25" s="167" t="s">
        <v>37</v>
      </c>
    </row>
    <row r="26" spans="1:11" x14ac:dyDescent="0.25">
      <c r="A26" s="165" t="s">
        <v>249</v>
      </c>
      <c r="B26" s="165">
        <v>2022</v>
      </c>
      <c r="C26" s="242">
        <v>123.75890410958914</v>
      </c>
      <c r="D26" s="242">
        <v>1466</v>
      </c>
      <c r="E26" s="242">
        <v>234</v>
      </c>
      <c r="F26" s="245" t="s">
        <v>37</v>
      </c>
      <c r="G26" s="166">
        <f>100*BM_ChildrenYoungPeople_Incidents[[#This Row],[Number of incidents in year]]/C26</f>
        <v>1184.5612326219773</v>
      </c>
      <c r="H26" s="168">
        <f>BM_ChildrenYoungPeople_Incidents[[#This Row],[Number of incidents in year]]/BM_ChildrenYoungPeople_Incidents[[#This Row],[Number of unique children and young adults involved per year '[assaults as assailants'] '[note 18']]]</f>
        <v>6.2649572649572649</v>
      </c>
      <c r="I26" s="167" t="s">
        <v>37</v>
      </c>
    </row>
    <row r="27" spans="1:11" x14ac:dyDescent="0.25">
      <c r="A27" s="165" t="s">
        <v>249</v>
      </c>
      <c r="B27" s="165">
        <v>2023</v>
      </c>
      <c r="C27" s="242">
        <v>111.71232876712332</v>
      </c>
      <c r="D27" s="242">
        <v>1039</v>
      </c>
      <c r="E27" s="242">
        <v>202</v>
      </c>
      <c r="F27" s="245" t="s">
        <v>37</v>
      </c>
      <c r="G27" s="166">
        <f>100*BM_ChildrenYoungPeople_Incidents[[#This Row],[Number of incidents in year]]/C27</f>
        <v>930.06744328632715</v>
      </c>
      <c r="H27" s="168">
        <f>BM_ChildrenYoungPeople_Incidents[[#This Row],[Number of incidents in year]]/BM_ChildrenYoungPeople_Incidents[[#This Row],[Number of unique children and young adults involved per year '[assaults as assailants'] '[note 18']]]</f>
        <v>5.1435643564356432</v>
      </c>
      <c r="I27" s="167" t="s">
        <v>37</v>
      </c>
    </row>
    <row r="28" spans="1:11" x14ac:dyDescent="0.25">
      <c r="A28" s="165" t="s">
        <v>249</v>
      </c>
      <c r="B28" s="165">
        <v>2024</v>
      </c>
      <c r="C28" s="242">
        <v>139.26625598904857</v>
      </c>
      <c r="D28" s="242">
        <v>883</v>
      </c>
      <c r="E28" s="242">
        <v>219</v>
      </c>
      <c r="F28" s="245" t="s">
        <v>37</v>
      </c>
      <c r="G28" s="166">
        <f>100*BM_ChildrenYoungPeople_Incidents[[#This Row],[Number of incidents in year]]/C28</f>
        <v>634.03729333359558</v>
      </c>
      <c r="H28" s="168">
        <f>BM_ChildrenYoungPeople_Incidents[[#This Row],[Number of incidents in year]]/BM_ChildrenYoungPeople_Incidents[[#This Row],[Number of unique children and young adults involved per year '[assaults as assailants'] '[note 18']]]</f>
        <v>4.031963470319635</v>
      </c>
      <c r="I28" s="167" t="s">
        <v>37</v>
      </c>
    </row>
    <row r="29" spans="1:11" x14ac:dyDescent="0.25">
      <c r="A29" s="165" t="s">
        <v>249</v>
      </c>
      <c r="B29" s="165">
        <v>2025</v>
      </c>
      <c r="C29" s="242">
        <v>155.73169062286104</v>
      </c>
      <c r="D29" s="242">
        <v>947</v>
      </c>
      <c r="E29" s="242">
        <v>234</v>
      </c>
      <c r="F29" s="245" t="s">
        <v>37</v>
      </c>
      <c r="G29" s="233">
        <f>100*BM_ChildrenYoungPeople_Incidents[[#This Row],[Number of incidents in year]]/C29</f>
        <v>608.09716777131212</v>
      </c>
      <c r="H29" s="168">
        <f>BM_ChildrenYoungPeople_Incidents[[#This Row],[Number of incidents in year]]/BM_ChildrenYoungPeople_Incidents[[#This Row],[Number of unique children and young adults involved per year '[assaults as assailants'] '[note 18']]]</f>
        <v>4.0470085470085468</v>
      </c>
      <c r="I29" s="167" t="s">
        <v>37</v>
      </c>
    </row>
  </sheetData>
  <pageMargins left="0.7" right="0.7" top="0.75" bottom="0.75" header="0.3" footer="0.3"/>
  <pageSetup paperSize="9" orientation="portrait" r:id="rId1"/>
  <ignoredErrors>
    <ignoredError sqref="I24:I29 I7:I17" calculatedColumn="1"/>
  </ignoredErrors>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1A5F49-6F6E-4DF6-A92D-C3DBCBA415FB}">
  <sheetPr codeName="Sheet7"/>
  <dimension ref="A1:O21"/>
  <sheetViews>
    <sheetView workbookViewId="0"/>
  </sheetViews>
  <sheetFormatPr defaultColWidth="8.6640625" defaultRowHeight="15" x14ac:dyDescent="0.2"/>
  <cols>
    <col min="1" max="1" width="18.33203125" customWidth="1"/>
    <col min="2" max="2" width="34" customWidth="1"/>
    <col min="3" max="13" width="8.6640625" customWidth="1"/>
    <col min="14" max="15" width="11.88671875" customWidth="1"/>
  </cols>
  <sheetData>
    <row r="1" spans="1:15" ht="15.75" x14ac:dyDescent="0.2">
      <c r="A1" s="38" t="s">
        <v>237</v>
      </c>
      <c r="B1" s="4"/>
      <c r="C1" s="4"/>
      <c r="D1" s="4"/>
      <c r="E1" s="4"/>
      <c r="F1" s="4"/>
      <c r="G1" s="4"/>
      <c r="H1" s="4"/>
      <c r="I1" s="4"/>
      <c r="J1" s="4"/>
      <c r="K1" s="4"/>
      <c r="L1" s="4"/>
      <c r="M1" s="4"/>
      <c r="N1" s="4"/>
      <c r="O1" s="4"/>
    </row>
    <row r="2" spans="1:15" x14ac:dyDescent="0.2">
      <c r="A2" s="39" t="s">
        <v>143</v>
      </c>
      <c r="B2" s="4"/>
      <c r="C2" s="4"/>
      <c r="D2" s="4"/>
      <c r="E2" s="4"/>
      <c r="F2" s="4"/>
      <c r="G2" s="4"/>
      <c r="H2" s="4"/>
      <c r="I2" s="4"/>
      <c r="J2" s="4"/>
      <c r="K2" s="4"/>
      <c r="L2" s="4"/>
      <c r="M2" s="4"/>
      <c r="N2" s="4"/>
      <c r="O2" s="4"/>
    </row>
    <row r="3" spans="1:15" x14ac:dyDescent="0.2">
      <c r="A3" s="4" t="s">
        <v>281</v>
      </c>
      <c r="B3" s="4"/>
      <c r="C3" s="4"/>
      <c r="D3" s="4"/>
      <c r="E3" s="4"/>
      <c r="F3" s="4"/>
      <c r="G3" s="4"/>
      <c r="H3" s="4"/>
      <c r="I3" s="4"/>
      <c r="J3" s="4"/>
      <c r="K3" s="4"/>
      <c r="L3" s="4"/>
      <c r="M3" s="4"/>
      <c r="N3" s="4"/>
      <c r="O3" s="4"/>
    </row>
    <row r="4" spans="1:15" ht="38.25" x14ac:dyDescent="0.2">
      <c r="A4" s="52" t="s">
        <v>160</v>
      </c>
      <c r="B4" s="52" t="s">
        <v>177</v>
      </c>
      <c r="C4" s="58" t="s">
        <v>113</v>
      </c>
      <c r="D4" s="58" t="s">
        <v>114</v>
      </c>
      <c r="E4" s="58" t="s">
        <v>115</v>
      </c>
      <c r="F4" s="58" t="s">
        <v>116</v>
      </c>
      <c r="G4" s="58" t="s">
        <v>117</v>
      </c>
      <c r="H4" s="58" t="s">
        <v>118</v>
      </c>
      <c r="I4" s="58" t="s">
        <v>119</v>
      </c>
      <c r="J4" s="58" t="s">
        <v>120</v>
      </c>
      <c r="K4" s="58" t="s">
        <v>164</v>
      </c>
      <c r="L4" s="58" t="s">
        <v>187</v>
      </c>
      <c r="M4" s="58" t="s">
        <v>236</v>
      </c>
      <c r="N4" s="58" t="s">
        <v>238</v>
      </c>
      <c r="O4" s="58" t="s">
        <v>239</v>
      </c>
    </row>
    <row r="5" spans="1:15" x14ac:dyDescent="0.2">
      <c r="A5" s="1" t="s">
        <v>144</v>
      </c>
      <c r="B5" s="1" t="s">
        <v>174</v>
      </c>
      <c r="C5" s="2">
        <v>1037.3333333333333</v>
      </c>
      <c r="D5" s="2">
        <v>960.25</v>
      </c>
      <c r="E5" s="2">
        <v>867.91666666666663</v>
      </c>
      <c r="F5" s="2">
        <v>894</v>
      </c>
      <c r="G5" s="2">
        <v>858.91666666666663</v>
      </c>
      <c r="H5" s="2">
        <v>781.08333333333337</v>
      </c>
      <c r="I5" s="2">
        <v>560.41666666666663</v>
      </c>
      <c r="J5" s="2">
        <v>454.25</v>
      </c>
      <c r="K5" s="2">
        <v>441.33333333333331</v>
      </c>
      <c r="L5" s="2">
        <v>429.75</v>
      </c>
      <c r="M5" s="2">
        <v>417.66666666666669</v>
      </c>
      <c r="N5" s="53">
        <f>AvgMonthlyPop_YearlyTrend[[#This Row],[2025]]/AvgMonthlyPop_YearlyTrend[[#This Row],[2015]]-1</f>
        <v>-0.59736503856041123</v>
      </c>
      <c r="O5" s="46">
        <f>AvgMonthlyPop_YearlyTrend[[#This Row],[2025]]/AvgMonthlyPop_YearlyTrend[[#This Row],[2024]]-1</f>
        <v>-2.8117122357960045E-2</v>
      </c>
    </row>
    <row r="6" spans="1:15" x14ac:dyDescent="0.2">
      <c r="A6" s="1" t="s">
        <v>144</v>
      </c>
      <c r="B6" s="1" t="s">
        <v>176</v>
      </c>
      <c r="C6" s="2">
        <v>97.5</v>
      </c>
      <c r="D6" s="2">
        <v>88.416666666666671</v>
      </c>
      <c r="E6" s="2">
        <v>92.083333333333329</v>
      </c>
      <c r="F6" s="2">
        <v>92.083333333333329</v>
      </c>
      <c r="G6" s="2">
        <v>82.833333333333329</v>
      </c>
      <c r="H6" s="2">
        <v>74.25</v>
      </c>
      <c r="I6" s="2">
        <v>82.083333333333329</v>
      </c>
      <c r="J6" s="2">
        <v>67.583333333333329</v>
      </c>
      <c r="K6" s="2">
        <v>63.083333333333336</v>
      </c>
      <c r="L6" s="2">
        <v>150.41666666666666</v>
      </c>
      <c r="M6" s="2">
        <v>110.25</v>
      </c>
      <c r="N6" s="53">
        <f>AvgMonthlyPop_YearlyTrend[[#This Row],[2025]]/AvgMonthlyPop_YearlyTrend[[#This Row],[2015]]-1</f>
        <v>0.13076923076923075</v>
      </c>
      <c r="O6" s="46">
        <f>AvgMonthlyPop_YearlyTrend[[#This Row],[2025]]/AvgMonthlyPop_YearlyTrend[[#This Row],[2024]]-1</f>
        <v>-0.26703601108033237</v>
      </c>
    </row>
    <row r="7" spans="1:15" x14ac:dyDescent="0.2">
      <c r="A7" s="47" t="s">
        <v>144</v>
      </c>
      <c r="B7" s="47" t="s">
        <v>175</v>
      </c>
      <c r="C7" s="48">
        <v>1134.8333333333333</v>
      </c>
      <c r="D7" s="48">
        <v>1048.6666666666667</v>
      </c>
      <c r="E7" s="48">
        <v>960</v>
      </c>
      <c r="F7" s="48">
        <v>986.08333333333337</v>
      </c>
      <c r="G7" s="48">
        <v>941.75</v>
      </c>
      <c r="H7" s="48">
        <v>855.33333333333337</v>
      </c>
      <c r="I7" s="48">
        <v>642.5</v>
      </c>
      <c r="J7" s="48">
        <v>521.83333333333337</v>
      </c>
      <c r="K7" s="48">
        <v>504.41666666666669</v>
      </c>
      <c r="L7" s="48">
        <v>580.16666666666663</v>
      </c>
      <c r="M7" s="48">
        <v>527.91666666666663</v>
      </c>
      <c r="N7" s="49">
        <f>AvgMonthlyPop_YearlyTrend[[#This Row],[2025]]/AvgMonthlyPop_YearlyTrend[[#This Row],[2015]]-1</f>
        <v>-0.53480687325598475</v>
      </c>
      <c r="O7" s="49">
        <f>AvgMonthlyPop_YearlyTrend[[#This Row],[2025]]/AvgMonthlyPop_YearlyTrend[[#This Row],[2024]]-1</f>
        <v>-9.0060327492100023E-2</v>
      </c>
    </row>
    <row r="8" spans="1:15" x14ac:dyDescent="0.2">
      <c r="A8" s="1" t="s">
        <v>151</v>
      </c>
      <c r="B8" s="1" t="s">
        <v>174</v>
      </c>
      <c r="C8" s="11">
        <f t="shared" ref="C8:L8" si="0">C5/C$7</f>
        <v>0.91408430019092379</v>
      </c>
      <c r="D8" s="11">
        <f t="shared" si="0"/>
        <v>0.91568658614113152</v>
      </c>
      <c r="E8" s="11">
        <f t="shared" si="0"/>
        <v>0.90407986111111105</v>
      </c>
      <c r="F8" s="11">
        <f t="shared" si="0"/>
        <v>0.90661708780529027</v>
      </c>
      <c r="G8" s="11">
        <f t="shared" si="0"/>
        <v>0.91204318201929024</v>
      </c>
      <c r="H8" s="11">
        <f t="shared" si="0"/>
        <v>0.91319173811379584</v>
      </c>
      <c r="I8" s="11">
        <f t="shared" si="0"/>
        <v>0.87224383916990911</v>
      </c>
      <c r="J8" s="11">
        <f t="shared" si="0"/>
        <v>0.87048866176940265</v>
      </c>
      <c r="K8" s="11">
        <f t="shared" si="0"/>
        <v>0.8749380472492978</v>
      </c>
      <c r="L8" s="159">
        <f t="shared" si="0"/>
        <v>0.74073542085607591</v>
      </c>
      <c r="M8" s="159">
        <f t="shared" ref="M8" si="1">M5/M$7</f>
        <v>0.79116022099447525</v>
      </c>
      <c r="N8" s="190">
        <f>100*(AvgMonthlyPop_YearlyTrend[[#This Row],[2025]]-AvgMonthlyPop_YearlyTrend[[#This Row],[2015]])</f>
        <v>-12.292407919644855</v>
      </c>
      <c r="O8" s="190">
        <f>100*(AvgMonthlyPop_YearlyTrend[[#This Row],[2025]]-AvgMonthlyPop_YearlyTrend[[#This Row],[2024]])</f>
        <v>5.0424800138399339</v>
      </c>
    </row>
    <row r="9" spans="1:15" x14ac:dyDescent="0.2">
      <c r="A9" s="1" t="s">
        <v>151</v>
      </c>
      <c r="B9" s="1" t="s">
        <v>176</v>
      </c>
      <c r="C9" s="11">
        <f t="shared" ref="C9:K9" si="2">C6/C$7</f>
        <v>8.5915699809076235E-2</v>
      </c>
      <c r="D9" s="11">
        <f t="shared" si="2"/>
        <v>8.4313413858868397E-2</v>
      </c>
      <c r="E9" s="11">
        <f t="shared" si="2"/>
        <v>9.5920138888888881E-2</v>
      </c>
      <c r="F9" s="11">
        <f t="shared" si="2"/>
        <v>9.3382912194709705E-2</v>
      </c>
      <c r="G9" s="11">
        <f t="shared" si="2"/>
        <v>8.7956817980709673E-2</v>
      </c>
      <c r="H9" s="11">
        <f t="shared" si="2"/>
        <v>8.6808261886204205E-2</v>
      </c>
      <c r="I9" s="11">
        <f t="shared" si="2"/>
        <v>0.12775616083009078</v>
      </c>
      <c r="J9" s="11">
        <f t="shared" si="2"/>
        <v>0.12951133823059724</v>
      </c>
      <c r="K9" s="11">
        <f t="shared" si="2"/>
        <v>0.12506195275070214</v>
      </c>
      <c r="L9" s="159">
        <f>L6/L$7</f>
        <v>0.25926457914392415</v>
      </c>
      <c r="M9" s="159">
        <f>M6/M$7</f>
        <v>0.20883977900552489</v>
      </c>
      <c r="N9" s="190">
        <f>100*(AvgMonthlyPop_YearlyTrend[[#This Row],[2025]]-AvgMonthlyPop_YearlyTrend[[#This Row],[2015]])</f>
        <v>12.292407919644866</v>
      </c>
      <c r="O9" s="190">
        <f>100*(AvgMonthlyPop_YearlyTrend[[#This Row],[2025]]-AvgMonthlyPop_YearlyTrend[[#This Row],[2024]])</f>
        <v>-5.0424800138399259</v>
      </c>
    </row>
    <row r="10" spans="1:15" x14ac:dyDescent="0.2">
      <c r="A10" s="1" t="s">
        <v>151</v>
      </c>
      <c r="B10" s="1" t="s">
        <v>175</v>
      </c>
      <c r="C10" s="159">
        <f t="shared" ref="C10:K10" si="3">C7/C$7</f>
        <v>1</v>
      </c>
      <c r="D10" s="159">
        <f t="shared" si="3"/>
        <v>1</v>
      </c>
      <c r="E10" s="159">
        <f t="shared" si="3"/>
        <v>1</v>
      </c>
      <c r="F10" s="159">
        <f t="shared" si="3"/>
        <v>1</v>
      </c>
      <c r="G10" s="159">
        <f t="shared" si="3"/>
        <v>1</v>
      </c>
      <c r="H10" s="159">
        <f t="shared" si="3"/>
        <v>1</v>
      </c>
      <c r="I10" s="159">
        <f t="shared" si="3"/>
        <v>1</v>
      </c>
      <c r="J10" s="159">
        <f t="shared" si="3"/>
        <v>1</v>
      </c>
      <c r="K10" s="159">
        <f t="shared" si="3"/>
        <v>1</v>
      </c>
      <c r="L10" s="159">
        <f>L7/L$7</f>
        <v>1</v>
      </c>
      <c r="M10" s="159">
        <f>M7/M$7</f>
        <v>1</v>
      </c>
      <c r="N10" s="234" t="s">
        <v>37</v>
      </c>
      <c r="O10" s="234" t="s">
        <v>37</v>
      </c>
    </row>
    <row r="17" spans="5:13" x14ac:dyDescent="0.2">
      <c r="M17" s="228"/>
    </row>
    <row r="19" spans="5:13" x14ac:dyDescent="0.2">
      <c r="E19" s="227"/>
      <c r="F19" s="227"/>
      <c r="G19" s="227"/>
      <c r="H19" s="227"/>
      <c r="I19" s="227"/>
      <c r="J19" s="227"/>
      <c r="K19" s="227"/>
      <c r="L19" s="227"/>
      <c r="M19" s="227"/>
    </row>
    <row r="20" spans="5:13" x14ac:dyDescent="0.2">
      <c r="E20" s="227"/>
      <c r="F20" s="227"/>
      <c r="G20" s="227"/>
      <c r="H20" s="227"/>
      <c r="I20" s="227"/>
      <c r="J20" s="227"/>
      <c r="K20" s="227"/>
      <c r="L20" s="227"/>
      <c r="M20" s="227"/>
    </row>
    <row r="21" spans="5:13" x14ac:dyDescent="0.2">
      <c r="E21" s="227"/>
      <c r="F21" s="227"/>
      <c r="G21" s="227"/>
      <c r="H21" s="227"/>
      <c r="I21" s="227"/>
      <c r="J21" s="227"/>
      <c r="K21" s="227"/>
      <c r="L21" s="227"/>
      <c r="M21" s="227"/>
    </row>
  </sheetData>
  <phoneticPr fontId="19" type="noConversion"/>
  <pageMargins left="0.7" right="0.7" top="0.75" bottom="0.75" header="0.3" footer="0.3"/>
  <pageSetup paperSize="9"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00CDF5-BD3F-423C-8760-E67A5519C003}">
  <sheetPr codeName="Sheet3"/>
  <dimension ref="A1:N31"/>
  <sheetViews>
    <sheetView zoomScaleNormal="100" workbookViewId="0"/>
  </sheetViews>
  <sheetFormatPr defaultColWidth="8.6640625" defaultRowHeight="15" x14ac:dyDescent="0.2"/>
  <sheetData>
    <row r="1" spans="1:14" ht="15.75" x14ac:dyDescent="0.2">
      <c r="A1" s="38" t="s">
        <v>240</v>
      </c>
      <c r="B1" s="8"/>
      <c r="C1" s="8"/>
      <c r="D1" s="8"/>
      <c r="E1" s="8"/>
      <c r="F1" s="8"/>
      <c r="G1" s="8"/>
      <c r="H1" s="8"/>
      <c r="I1" s="8"/>
      <c r="J1" s="8"/>
      <c r="K1" s="8"/>
      <c r="L1" s="8"/>
      <c r="M1" s="8"/>
      <c r="N1" s="8"/>
    </row>
    <row r="2" spans="1:14" x14ac:dyDescent="0.2">
      <c r="A2" s="4" t="s">
        <v>143</v>
      </c>
      <c r="B2" s="8"/>
      <c r="C2" s="8"/>
      <c r="D2" s="8"/>
      <c r="E2" s="8"/>
      <c r="F2" s="8"/>
      <c r="G2" s="8"/>
      <c r="H2" s="8"/>
      <c r="I2" s="8"/>
      <c r="J2" s="8"/>
      <c r="K2" s="8"/>
      <c r="L2" s="8"/>
      <c r="M2" s="8"/>
      <c r="N2" s="8"/>
    </row>
    <row r="3" spans="1:14" ht="38.25" x14ac:dyDescent="0.2">
      <c r="A3" s="52" t="s">
        <v>328</v>
      </c>
      <c r="B3" s="50" t="s">
        <v>22</v>
      </c>
      <c r="C3" s="50" t="s">
        <v>23</v>
      </c>
      <c r="D3" s="50" t="s">
        <v>24</v>
      </c>
      <c r="E3" s="50" t="s">
        <v>25</v>
      </c>
      <c r="F3" s="50" t="s">
        <v>26</v>
      </c>
      <c r="G3" s="50" t="s">
        <v>27</v>
      </c>
      <c r="H3" s="50" t="s">
        <v>28</v>
      </c>
      <c r="I3" s="50" t="s">
        <v>29</v>
      </c>
      <c r="J3" s="50" t="s">
        <v>30</v>
      </c>
      <c r="K3" s="50" t="s">
        <v>31</v>
      </c>
      <c r="L3" s="50" t="s">
        <v>32</v>
      </c>
      <c r="M3" s="50" t="s">
        <v>33</v>
      </c>
      <c r="N3" s="58" t="s">
        <v>34</v>
      </c>
    </row>
    <row r="4" spans="1:14" x14ac:dyDescent="0.2">
      <c r="A4" s="20" t="s">
        <v>248</v>
      </c>
      <c r="B4" s="7">
        <v>2610</v>
      </c>
      <c r="C4" s="7">
        <v>2804</v>
      </c>
      <c r="D4" s="7">
        <v>2825</v>
      </c>
      <c r="E4" s="7">
        <v>2929</v>
      </c>
      <c r="F4" s="7">
        <v>2968</v>
      </c>
      <c r="G4" s="7">
        <v>2868</v>
      </c>
      <c r="H4" s="7">
        <v>2815</v>
      </c>
      <c r="I4" s="7">
        <v>2812</v>
      </c>
      <c r="J4" s="7">
        <v>2704</v>
      </c>
      <c r="K4" s="7">
        <v>2741</v>
      </c>
      <c r="L4" s="7">
        <v>2789</v>
      </c>
      <c r="M4" s="7">
        <v>2821</v>
      </c>
      <c r="N4" s="6">
        <f>AVERAGE(B4:M4)</f>
        <v>2807.1666666666665</v>
      </c>
    </row>
    <row r="5" spans="1:14" x14ac:dyDescent="0.2">
      <c r="A5" s="20" t="s">
        <v>305</v>
      </c>
      <c r="B5" s="7">
        <v>2661</v>
      </c>
      <c r="C5" s="7">
        <v>2698</v>
      </c>
      <c r="D5" s="7">
        <v>2805</v>
      </c>
      <c r="E5" s="7">
        <v>2968</v>
      </c>
      <c r="F5" s="7">
        <v>2928</v>
      </c>
      <c r="G5" s="7">
        <v>2832</v>
      </c>
      <c r="H5" s="7">
        <v>2878</v>
      </c>
      <c r="I5" s="7">
        <v>2947</v>
      </c>
      <c r="J5" s="7">
        <v>2735</v>
      </c>
      <c r="K5" s="7">
        <v>2788</v>
      </c>
      <c r="L5" s="7">
        <v>2931</v>
      </c>
      <c r="M5" s="7">
        <v>2996</v>
      </c>
      <c r="N5" s="6">
        <f t="shared" ref="N5:N26" si="0">AVERAGE(B5:M5)</f>
        <v>2847.25</v>
      </c>
    </row>
    <row r="6" spans="1:14" x14ac:dyDescent="0.2">
      <c r="A6" s="20" t="s">
        <v>306</v>
      </c>
      <c r="B6" s="7">
        <v>3094</v>
      </c>
      <c r="C6" s="7">
        <v>3124</v>
      </c>
      <c r="D6" s="7">
        <v>3087</v>
      </c>
      <c r="E6" s="7">
        <v>3195</v>
      </c>
      <c r="F6" s="7">
        <v>3104</v>
      </c>
      <c r="G6" s="7">
        <v>3145</v>
      </c>
      <c r="H6" s="7">
        <v>3200</v>
      </c>
      <c r="I6" s="7">
        <v>3137</v>
      </c>
      <c r="J6" s="7">
        <v>2919</v>
      </c>
      <c r="K6" s="7">
        <v>2862</v>
      </c>
      <c r="L6" s="7">
        <v>2872</v>
      </c>
      <c r="M6" s="7">
        <v>2882</v>
      </c>
      <c r="N6" s="6">
        <f t="shared" si="0"/>
        <v>3051.75</v>
      </c>
    </row>
    <row r="7" spans="1:14" x14ac:dyDescent="0.2">
      <c r="A7" s="20" t="s">
        <v>307</v>
      </c>
      <c r="B7" s="7">
        <v>2798</v>
      </c>
      <c r="C7" s="7">
        <v>2810</v>
      </c>
      <c r="D7" s="7">
        <v>2805</v>
      </c>
      <c r="E7" s="7">
        <v>2839</v>
      </c>
      <c r="F7" s="7">
        <v>2833</v>
      </c>
      <c r="G7" s="7">
        <v>2795</v>
      </c>
      <c r="H7" s="7">
        <v>2799</v>
      </c>
      <c r="I7" s="7">
        <v>2748</v>
      </c>
      <c r="J7" s="7">
        <v>2587</v>
      </c>
      <c r="K7" s="7">
        <v>2663</v>
      </c>
      <c r="L7" s="7">
        <v>2727</v>
      </c>
      <c r="M7" s="7">
        <v>2850</v>
      </c>
      <c r="N7" s="6">
        <f t="shared" si="0"/>
        <v>2771.1666666666665</v>
      </c>
    </row>
    <row r="8" spans="1:14" x14ac:dyDescent="0.2">
      <c r="A8" s="20" t="s">
        <v>308</v>
      </c>
      <c r="B8" s="7">
        <v>2775</v>
      </c>
      <c r="C8" s="7">
        <v>2809</v>
      </c>
      <c r="D8" s="7">
        <v>2763</v>
      </c>
      <c r="E8" s="7">
        <v>2768</v>
      </c>
      <c r="F8" s="7">
        <v>2785</v>
      </c>
      <c r="G8" s="7">
        <v>2792</v>
      </c>
      <c r="H8" s="7">
        <v>2828</v>
      </c>
      <c r="I8" s="7">
        <v>2803</v>
      </c>
      <c r="J8" s="7">
        <v>2617</v>
      </c>
      <c r="K8" s="7">
        <v>2646</v>
      </c>
      <c r="L8" s="7">
        <v>2692</v>
      </c>
      <c r="M8" s="7">
        <v>2677</v>
      </c>
      <c r="N8" s="6">
        <f>AVERAGE(B8:M8)</f>
        <v>2746.25</v>
      </c>
    </row>
    <row r="9" spans="1:14" x14ac:dyDescent="0.2">
      <c r="A9" s="20" t="s">
        <v>312</v>
      </c>
      <c r="B9" s="7">
        <v>2693</v>
      </c>
      <c r="C9" s="7">
        <v>2768</v>
      </c>
      <c r="D9" s="7">
        <v>2827</v>
      </c>
      <c r="E9" s="7">
        <v>2892</v>
      </c>
      <c r="F9" s="7">
        <v>2930</v>
      </c>
      <c r="G9" s="7">
        <v>3031</v>
      </c>
      <c r="H9" s="7">
        <v>2962</v>
      </c>
      <c r="I9" s="7">
        <v>2893</v>
      </c>
      <c r="J9" s="7">
        <v>2644</v>
      </c>
      <c r="K9" s="7">
        <v>2761</v>
      </c>
      <c r="L9" s="7">
        <v>2763</v>
      </c>
      <c r="M9" s="7">
        <v>2815</v>
      </c>
      <c r="N9" s="6">
        <f>AVERAGE(B9:M9)</f>
        <v>2831.5833333333335</v>
      </c>
    </row>
    <row r="10" spans="1:14" x14ac:dyDescent="0.2">
      <c r="A10" s="20" t="s">
        <v>313</v>
      </c>
      <c r="B10" s="7">
        <v>2785</v>
      </c>
      <c r="C10" s="7">
        <v>2868</v>
      </c>
      <c r="D10" s="7">
        <v>2922</v>
      </c>
      <c r="E10" s="7">
        <v>2963</v>
      </c>
      <c r="F10" s="7">
        <v>3067</v>
      </c>
      <c r="G10" s="7">
        <v>3052</v>
      </c>
      <c r="H10" s="7">
        <v>2999</v>
      </c>
      <c r="I10" s="7">
        <v>3000</v>
      </c>
      <c r="J10" s="7">
        <v>2796</v>
      </c>
      <c r="K10" s="7">
        <v>2832</v>
      </c>
      <c r="L10" s="7">
        <v>2851</v>
      </c>
      <c r="M10" s="7">
        <v>2839</v>
      </c>
      <c r="N10" s="6">
        <f t="shared" si="0"/>
        <v>2914.5</v>
      </c>
    </row>
    <row r="11" spans="1:14" x14ac:dyDescent="0.2">
      <c r="A11" s="20" t="s">
        <v>314</v>
      </c>
      <c r="B11" s="7">
        <v>2840</v>
      </c>
      <c r="C11" s="7">
        <v>2898</v>
      </c>
      <c r="D11" s="7">
        <v>2909</v>
      </c>
      <c r="E11" s="7">
        <v>2964</v>
      </c>
      <c r="F11" s="7">
        <v>2991</v>
      </c>
      <c r="G11" s="7">
        <v>3010</v>
      </c>
      <c r="H11" s="7">
        <v>2999</v>
      </c>
      <c r="I11" s="7">
        <v>2980</v>
      </c>
      <c r="J11" s="7">
        <v>2795</v>
      </c>
      <c r="K11" s="7">
        <v>2846</v>
      </c>
      <c r="L11" s="7">
        <v>2953</v>
      </c>
      <c r="M11" s="7">
        <v>3004</v>
      </c>
      <c r="N11" s="6">
        <f t="shared" si="0"/>
        <v>2932.4166666666665</v>
      </c>
    </row>
    <row r="12" spans="1:14" x14ac:dyDescent="0.2">
      <c r="A12" s="20" t="s">
        <v>315</v>
      </c>
      <c r="B12" s="7">
        <v>3012</v>
      </c>
      <c r="C12" s="7">
        <v>3006</v>
      </c>
      <c r="D12" s="7">
        <v>3072</v>
      </c>
      <c r="E12" s="7">
        <v>3006</v>
      </c>
      <c r="F12" s="7">
        <v>3019</v>
      </c>
      <c r="G12" s="7">
        <v>2934</v>
      </c>
      <c r="H12" s="7">
        <v>2905</v>
      </c>
      <c r="I12" s="7">
        <v>2905</v>
      </c>
      <c r="J12" s="7">
        <v>2715</v>
      </c>
      <c r="K12" s="7">
        <v>2726</v>
      </c>
      <c r="L12" s="7">
        <v>2648</v>
      </c>
      <c r="M12" s="7">
        <v>2625</v>
      </c>
      <c r="N12" s="6">
        <f t="shared" si="0"/>
        <v>2881.0833333333335</v>
      </c>
    </row>
    <row r="13" spans="1:14" x14ac:dyDescent="0.2">
      <c r="A13" s="20" t="s">
        <v>316</v>
      </c>
      <c r="B13" s="7">
        <v>2595</v>
      </c>
      <c r="C13" s="7">
        <v>2541</v>
      </c>
      <c r="D13" s="7">
        <v>2596</v>
      </c>
      <c r="E13" s="7">
        <v>2546</v>
      </c>
      <c r="F13" s="7">
        <v>2504</v>
      </c>
      <c r="G13" s="7">
        <v>2536</v>
      </c>
      <c r="H13" s="7">
        <v>2528</v>
      </c>
      <c r="I13" s="7">
        <v>2432</v>
      </c>
      <c r="J13" s="7">
        <v>2178</v>
      </c>
      <c r="K13" s="7">
        <v>2196</v>
      </c>
      <c r="L13" s="7">
        <v>2187</v>
      </c>
      <c r="M13" s="7">
        <v>2180</v>
      </c>
      <c r="N13" s="6">
        <f t="shared" si="0"/>
        <v>2418.25</v>
      </c>
    </row>
    <row r="14" spans="1:14" x14ac:dyDescent="0.2">
      <c r="A14" s="20" t="s">
        <v>317</v>
      </c>
      <c r="B14" s="7">
        <v>2149</v>
      </c>
      <c r="C14" s="7">
        <v>2136</v>
      </c>
      <c r="D14" s="7">
        <v>2113</v>
      </c>
      <c r="E14" s="7">
        <v>2083</v>
      </c>
      <c r="F14" s="7">
        <v>2099</v>
      </c>
      <c r="G14" s="7">
        <v>2086</v>
      </c>
      <c r="H14" s="7">
        <v>2046</v>
      </c>
      <c r="I14" s="7">
        <v>1986</v>
      </c>
      <c r="J14" s="7">
        <v>1862</v>
      </c>
      <c r="K14" s="7">
        <v>1892</v>
      </c>
      <c r="L14" s="7">
        <v>1996</v>
      </c>
      <c r="M14" s="7">
        <v>2027</v>
      </c>
      <c r="N14" s="6">
        <f t="shared" si="0"/>
        <v>2039.5833333333333</v>
      </c>
    </row>
    <row r="15" spans="1:14" x14ac:dyDescent="0.2">
      <c r="A15" s="20" t="s">
        <v>318</v>
      </c>
      <c r="B15" s="7">
        <v>1955</v>
      </c>
      <c r="C15" s="7">
        <v>2014</v>
      </c>
      <c r="D15" s="7">
        <v>2041</v>
      </c>
      <c r="E15" s="7">
        <v>1959</v>
      </c>
      <c r="F15" s="7">
        <v>2066</v>
      </c>
      <c r="G15" s="7">
        <v>2044</v>
      </c>
      <c r="H15" s="7">
        <v>1991</v>
      </c>
      <c r="I15" s="7">
        <v>2022</v>
      </c>
      <c r="J15" s="7">
        <v>1871</v>
      </c>
      <c r="K15" s="7">
        <v>1919</v>
      </c>
      <c r="L15" s="7">
        <v>1873</v>
      </c>
      <c r="M15" s="7">
        <v>1803</v>
      </c>
      <c r="N15" s="6">
        <f t="shared" si="0"/>
        <v>1963.1666666666667</v>
      </c>
    </row>
    <row r="16" spans="1:14" x14ac:dyDescent="0.2">
      <c r="A16" s="20" t="s">
        <v>319</v>
      </c>
      <c r="B16" s="7">
        <v>1829</v>
      </c>
      <c r="C16" s="7">
        <v>1741</v>
      </c>
      <c r="D16" s="7">
        <v>1707</v>
      </c>
      <c r="E16" s="7">
        <v>1678</v>
      </c>
      <c r="F16" s="7">
        <v>1622</v>
      </c>
      <c r="G16" s="7">
        <v>1578</v>
      </c>
      <c r="H16" s="7">
        <v>1575</v>
      </c>
      <c r="I16" s="7">
        <v>1529</v>
      </c>
      <c r="J16" s="7">
        <v>1349</v>
      </c>
      <c r="K16" s="7">
        <v>1349</v>
      </c>
      <c r="L16" s="7">
        <v>1291</v>
      </c>
      <c r="M16" s="7">
        <v>1279</v>
      </c>
      <c r="N16" s="6">
        <f t="shared" si="0"/>
        <v>1543.9166666666667</v>
      </c>
    </row>
    <row r="17" spans="1:14" x14ac:dyDescent="0.2">
      <c r="A17" s="20" t="s">
        <v>320</v>
      </c>
      <c r="B17" s="7">
        <v>1263</v>
      </c>
      <c r="C17" s="7">
        <v>1254</v>
      </c>
      <c r="D17" s="7">
        <v>1228</v>
      </c>
      <c r="E17" s="7">
        <v>1261</v>
      </c>
      <c r="F17" s="7">
        <v>1232</v>
      </c>
      <c r="G17" s="7">
        <v>1245</v>
      </c>
      <c r="H17" s="7">
        <v>1234</v>
      </c>
      <c r="I17" s="7">
        <v>1217</v>
      </c>
      <c r="J17" s="7">
        <v>1150</v>
      </c>
      <c r="K17" s="7">
        <v>1184</v>
      </c>
      <c r="L17" s="7">
        <v>1164</v>
      </c>
      <c r="M17" s="7">
        <v>1157</v>
      </c>
      <c r="N17" s="6">
        <f t="shared" si="0"/>
        <v>1215.75</v>
      </c>
    </row>
    <row r="18" spans="1:14" x14ac:dyDescent="0.2">
      <c r="A18" s="20" t="s">
        <v>321</v>
      </c>
      <c r="B18" s="7">
        <v>1078</v>
      </c>
      <c r="C18" s="7">
        <v>1069</v>
      </c>
      <c r="D18" s="7">
        <v>1100</v>
      </c>
      <c r="E18" s="7">
        <v>1111</v>
      </c>
      <c r="F18" s="7">
        <v>1051</v>
      </c>
      <c r="G18" s="7">
        <v>1044</v>
      </c>
      <c r="H18" s="7">
        <v>1033</v>
      </c>
      <c r="I18" s="7">
        <v>1040</v>
      </c>
      <c r="J18" s="7">
        <v>956</v>
      </c>
      <c r="K18" s="7">
        <v>976</v>
      </c>
      <c r="L18" s="7">
        <v>988</v>
      </c>
      <c r="M18" s="7">
        <v>1002</v>
      </c>
      <c r="N18" s="6">
        <f t="shared" si="0"/>
        <v>1037.3333333333333</v>
      </c>
    </row>
    <row r="19" spans="1:14" x14ac:dyDescent="0.2">
      <c r="A19" s="20" t="s">
        <v>322</v>
      </c>
      <c r="B19" s="7">
        <v>999</v>
      </c>
      <c r="C19" s="7">
        <v>988</v>
      </c>
      <c r="D19" s="7">
        <v>995</v>
      </c>
      <c r="E19" s="7">
        <v>1003</v>
      </c>
      <c r="F19" s="7">
        <v>970</v>
      </c>
      <c r="G19" s="7">
        <v>977</v>
      </c>
      <c r="H19" s="7">
        <v>997</v>
      </c>
      <c r="I19" s="7">
        <v>988</v>
      </c>
      <c r="J19" s="7">
        <v>927</v>
      </c>
      <c r="K19" s="7">
        <v>921</v>
      </c>
      <c r="L19" s="7">
        <v>877</v>
      </c>
      <c r="M19" s="7">
        <v>881</v>
      </c>
      <c r="N19" s="6">
        <f t="shared" si="0"/>
        <v>960.25</v>
      </c>
    </row>
    <row r="20" spans="1:14" x14ac:dyDescent="0.2">
      <c r="A20" s="20" t="s">
        <v>323</v>
      </c>
      <c r="B20" s="7">
        <v>906</v>
      </c>
      <c r="C20" s="7">
        <v>868</v>
      </c>
      <c r="D20" s="7">
        <v>889</v>
      </c>
      <c r="E20" s="7">
        <v>857</v>
      </c>
      <c r="F20" s="7">
        <v>880</v>
      </c>
      <c r="G20" s="7">
        <v>876</v>
      </c>
      <c r="H20" s="7">
        <v>872</v>
      </c>
      <c r="I20" s="7">
        <v>855</v>
      </c>
      <c r="J20" s="7">
        <v>829</v>
      </c>
      <c r="K20" s="7">
        <v>862</v>
      </c>
      <c r="L20" s="7">
        <v>863</v>
      </c>
      <c r="M20" s="7">
        <v>858</v>
      </c>
      <c r="N20" s="6">
        <f t="shared" si="0"/>
        <v>867.91666666666663</v>
      </c>
    </row>
    <row r="21" spans="1:14" x14ac:dyDescent="0.2">
      <c r="A21" s="20" t="s">
        <v>324</v>
      </c>
      <c r="B21" s="7">
        <v>910</v>
      </c>
      <c r="C21" s="7">
        <v>923</v>
      </c>
      <c r="D21" s="7">
        <v>909</v>
      </c>
      <c r="E21" s="7">
        <v>914</v>
      </c>
      <c r="F21" s="7">
        <v>882</v>
      </c>
      <c r="G21" s="7">
        <v>870</v>
      </c>
      <c r="H21" s="7">
        <v>898</v>
      </c>
      <c r="I21" s="7">
        <v>895</v>
      </c>
      <c r="J21" s="7">
        <v>866</v>
      </c>
      <c r="K21" s="7">
        <v>874</v>
      </c>
      <c r="L21" s="7">
        <v>865</v>
      </c>
      <c r="M21" s="7">
        <v>922</v>
      </c>
      <c r="N21" s="6">
        <f t="shared" si="0"/>
        <v>894</v>
      </c>
    </row>
    <row r="22" spans="1:14" x14ac:dyDescent="0.2">
      <c r="A22" s="20" t="s">
        <v>325</v>
      </c>
      <c r="B22" s="7">
        <v>938</v>
      </c>
      <c r="C22" s="7">
        <v>892</v>
      </c>
      <c r="D22" s="7">
        <v>885</v>
      </c>
      <c r="E22" s="7">
        <v>882</v>
      </c>
      <c r="F22" s="7">
        <v>872</v>
      </c>
      <c r="G22" s="7">
        <v>861</v>
      </c>
      <c r="H22" s="7">
        <v>853</v>
      </c>
      <c r="I22" s="7">
        <v>828</v>
      </c>
      <c r="J22" s="7">
        <v>831</v>
      </c>
      <c r="K22" s="7">
        <v>806</v>
      </c>
      <c r="L22" s="7">
        <v>827</v>
      </c>
      <c r="M22" s="7">
        <v>832</v>
      </c>
      <c r="N22" s="6">
        <f t="shared" si="0"/>
        <v>858.91666666666663</v>
      </c>
    </row>
    <row r="23" spans="1:14" x14ac:dyDescent="0.2">
      <c r="A23" s="20" t="s">
        <v>326</v>
      </c>
      <c r="B23" s="7">
        <v>795</v>
      </c>
      <c r="C23" s="7">
        <v>825</v>
      </c>
      <c r="D23" s="7">
        <v>812</v>
      </c>
      <c r="E23" s="7">
        <v>811</v>
      </c>
      <c r="F23" s="7">
        <v>797</v>
      </c>
      <c r="G23" s="7">
        <v>809</v>
      </c>
      <c r="H23" s="7">
        <v>791</v>
      </c>
      <c r="I23" s="7">
        <v>758</v>
      </c>
      <c r="J23" s="7">
        <v>717</v>
      </c>
      <c r="K23" s="7">
        <v>751</v>
      </c>
      <c r="L23" s="7">
        <v>770</v>
      </c>
      <c r="M23" s="7">
        <v>737</v>
      </c>
      <c r="N23" s="6">
        <f t="shared" si="0"/>
        <v>781.08333333333337</v>
      </c>
    </row>
    <row r="24" spans="1:14" x14ac:dyDescent="0.2">
      <c r="A24" s="20" t="s">
        <v>327</v>
      </c>
      <c r="B24" s="7">
        <v>664</v>
      </c>
      <c r="C24" s="7">
        <v>613</v>
      </c>
      <c r="D24" s="7">
        <v>598</v>
      </c>
      <c r="E24" s="7">
        <v>563</v>
      </c>
      <c r="F24" s="7">
        <v>571</v>
      </c>
      <c r="G24" s="7">
        <v>536</v>
      </c>
      <c r="H24" s="7">
        <v>535</v>
      </c>
      <c r="I24" s="7">
        <v>534</v>
      </c>
      <c r="J24" s="7">
        <v>527</v>
      </c>
      <c r="K24" s="7">
        <v>532</v>
      </c>
      <c r="L24" s="7">
        <v>536</v>
      </c>
      <c r="M24" s="7">
        <v>516</v>
      </c>
      <c r="N24" s="6">
        <f t="shared" si="0"/>
        <v>560.41666666666663</v>
      </c>
    </row>
    <row r="25" spans="1:14" x14ac:dyDescent="0.2">
      <c r="A25" s="20" t="s">
        <v>311</v>
      </c>
      <c r="B25" s="7">
        <v>493</v>
      </c>
      <c r="C25" s="7">
        <v>473</v>
      </c>
      <c r="D25" s="7">
        <v>497</v>
      </c>
      <c r="E25" s="7">
        <v>479</v>
      </c>
      <c r="F25" s="7">
        <v>472</v>
      </c>
      <c r="G25" s="7">
        <v>442</v>
      </c>
      <c r="H25" s="7">
        <v>449</v>
      </c>
      <c r="I25" s="7">
        <v>448</v>
      </c>
      <c r="J25" s="7">
        <v>436</v>
      </c>
      <c r="K25" s="7">
        <v>426</v>
      </c>
      <c r="L25" s="7">
        <v>414</v>
      </c>
      <c r="M25" s="7">
        <v>422</v>
      </c>
      <c r="N25" s="6">
        <f t="shared" si="0"/>
        <v>454.25</v>
      </c>
    </row>
    <row r="26" spans="1:14" x14ac:dyDescent="0.2">
      <c r="A26" s="20" t="s">
        <v>310</v>
      </c>
      <c r="B26" s="7">
        <v>432</v>
      </c>
      <c r="C26" s="7">
        <v>428</v>
      </c>
      <c r="D26" s="7">
        <v>441</v>
      </c>
      <c r="E26" s="7">
        <v>457</v>
      </c>
      <c r="F26" s="7">
        <v>450</v>
      </c>
      <c r="G26" s="7">
        <v>433</v>
      </c>
      <c r="H26" s="7">
        <v>434</v>
      </c>
      <c r="I26" s="7">
        <v>429</v>
      </c>
      <c r="J26" s="7">
        <v>436</v>
      </c>
      <c r="K26" s="7">
        <v>437</v>
      </c>
      <c r="L26" s="7">
        <v>467</v>
      </c>
      <c r="M26" s="7">
        <v>452</v>
      </c>
      <c r="N26" s="6">
        <f t="shared" si="0"/>
        <v>441.33333333333331</v>
      </c>
    </row>
    <row r="27" spans="1:14" x14ac:dyDescent="0.2">
      <c r="A27" s="20" t="s">
        <v>309</v>
      </c>
      <c r="B27" s="7">
        <v>457</v>
      </c>
      <c r="C27" s="235">
        <v>452</v>
      </c>
      <c r="D27" s="7">
        <v>446</v>
      </c>
      <c r="E27" s="7">
        <v>443</v>
      </c>
      <c r="F27" s="7">
        <v>456</v>
      </c>
      <c r="G27" s="7">
        <v>441</v>
      </c>
      <c r="H27" s="7">
        <v>429</v>
      </c>
      <c r="I27" s="7">
        <v>418</v>
      </c>
      <c r="J27" s="7">
        <v>397</v>
      </c>
      <c r="K27" s="7">
        <v>397</v>
      </c>
      <c r="L27" s="7">
        <v>411</v>
      </c>
      <c r="M27" s="7">
        <v>410</v>
      </c>
      <c r="N27" s="6">
        <f>AVERAGE(B27:M27)</f>
        <v>429.75</v>
      </c>
    </row>
    <row r="28" spans="1:14" x14ac:dyDescent="0.2">
      <c r="A28" s="20" t="s">
        <v>304</v>
      </c>
      <c r="B28" s="230">
        <v>427</v>
      </c>
      <c r="C28" s="230">
        <v>434</v>
      </c>
      <c r="D28" s="230">
        <v>431</v>
      </c>
      <c r="E28" s="230">
        <v>437</v>
      </c>
      <c r="F28" s="230">
        <v>444</v>
      </c>
      <c r="G28" s="230">
        <v>415</v>
      </c>
      <c r="H28" s="230">
        <v>400</v>
      </c>
      <c r="I28" s="230">
        <v>422</v>
      </c>
      <c r="J28" s="230">
        <v>396</v>
      </c>
      <c r="K28" s="230">
        <v>406</v>
      </c>
      <c r="L28" s="230">
        <v>398</v>
      </c>
      <c r="M28" s="230">
        <v>402</v>
      </c>
      <c r="N28" s="231">
        <f>AVERAGE(B28:M28)</f>
        <v>417.66666666666669</v>
      </c>
    </row>
    <row r="31" spans="1:14" x14ac:dyDescent="0.2">
      <c r="N31" s="228"/>
    </row>
  </sheetData>
  <phoneticPr fontId="19" type="noConversion"/>
  <pageMargins left="0.7" right="0.7" top="0.75" bottom="0.75" header="0.3" footer="0.3"/>
  <ignoredErrors>
    <ignoredError sqref="N4:N28" formulaRange="1"/>
  </ignoredErrors>
  <tableParts count="1">
    <tablePart r:id="rId1"/>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DFCAD5-F14A-4B39-BEF1-95FC3243A9F8}">
  <sheetPr codeName="Sheet4"/>
  <dimension ref="A1:O26"/>
  <sheetViews>
    <sheetView workbookViewId="0"/>
  </sheetViews>
  <sheetFormatPr defaultColWidth="8.6640625" defaultRowHeight="15" x14ac:dyDescent="0.2"/>
  <cols>
    <col min="1" max="1" width="16.109375" bestFit="1" customWidth="1"/>
    <col min="2" max="2" width="22.6640625" bestFit="1" customWidth="1"/>
    <col min="14" max="15" width="11.6640625" customWidth="1"/>
  </cols>
  <sheetData>
    <row r="1" spans="1:15" ht="15.75" x14ac:dyDescent="0.2">
      <c r="A1" s="38" t="s">
        <v>302</v>
      </c>
      <c r="B1" s="38"/>
      <c r="C1" s="12"/>
      <c r="D1" s="12"/>
      <c r="E1" s="12"/>
      <c r="F1" s="12"/>
      <c r="G1" s="12"/>
      <c r="H1" s="12"/>
      <c r="I1" s="12"/>
      <c r="J1" s="12"/>
      <c r="K1" s="12"/>
      <c r="L1" s="12"/>
      <c r="M1" s="12"/>
      <c r="N1" s="12"/>
      <c r="O1" s="12"/>
    </row>
    <row r="2" spans="1:15" x14ac:dyDescent="0.2">
      <c r="A2" s="4" t="s">
        <v>333</v>
      </c>
      <c r="B2" s="4"/>
      <c r="C2" s="12"/>
      <c r="D2" s="12"/>
      <c r="E2" s="12"/>
      <c r="F2" s="12"/>
      <c r="G2" s="12"/>
      <c r="H2" s="12"/>
      <c r="I2" s="12"/>
      <c r="J2" s="12"/>
      <c r="K2" s="12"/>
      <c r="L2" s="12"/>
      <c r="M2" s="12"/>
      <c r="N2" s="12"/>
      <c r="O2" s="12"/>
    </row>
    <row r="3" spans="1:15" x14ac:dyDescent="0.2">
      <c r="A3" s="4" t="s">
        <v>145</v>
      </c>
      <c r="B3" s="4"/>
      <c r="C3" s="12"/>
      <c r="D3" s="12"/>
      <c r="E3" s="12"/>
      <c r="F3" s="12"/>
      <c r="G3" s="12"/>
      <c r="H3" s="12"/>
      <c r="I3" s="12"/>
      <c r="J3" s="12"/>
      <c r="K3" s="12"/>
      <c r="L3" s="12"/>
      <c r="M3" s="12"/>
      <c r="N3" s="12"/>
      <c r="O3" s="12"/>
    </row>
    <row r="4" spans="1:15" x14ac:dyDescent="0.2">
      <c r="A4" s="4" t="s">
        <v>281</v>
      </c>
      <c r="B4" s="4"/>
      <c r="C4" s="50"/>
      <c r="D4" s="50"/>
      <c r="E4" s="50"/>
      <c r="F4" s="50"/>
      <c r="G4" s="50"/>
      <c r="H4" s="50"/>
      <c r="I4" s="50"/>
      <c r="J4" s="50"/>
      <c r="K4" s="50"/>
      <c r="L4" s="50"/>
      <c r="M4" s="50"/>
      <c r="N4" s="51"/>
      <c r="O4" s="51" t="s">
        <v>35</v>
      </c>
    </row>
    <row r="5" spans="1:15" ht="38.25" x14ac:dyDescent="0.2">
      <c r="A5" s="57" t="s">
        <v>160</v>
      </c>
      <c r="B5" s="57" t="s">
        <v>19</v>
      </c>
      <c r="C5" s="50" t="s">
        <v>113</v>
      </c>
      <c r="D5" s="50" t="s">
        <v>114</v>
      </c>
      <c r="E5" s="50" t="s">
        <v>115</v>
      </c>
      <c r="F5" s="50" t="s">
        <v>116</v>
      </c>
      <c r="G5" s="50" t="s">
        <v>117</v>
      </c>
      <c r="H5" s="50" t="s">
        <v>118</v>
      </c>
      <c r="I5" s="50" t="s">
        <v>119</v>
      </c>
      <c r="J5" s="50" t="s">
        <v>120</v>
      </c>
      <c r="K5" s="50" t="s">
        <v>164</v>
      </c>
      <c r="L5" s="50" t="s">
        <v>187</v>
      </c>
      <c r="M5" s="50" t="s">
        <v>236</v>
      </c>
      <c r="N5" s="58" t="s">
        <v>238</v>
      </c>
      <c r="O5" s="58" t="s">
        <v>239</v>
      </c>
    </row>
    <row r="6" spans="1:15" x14ac:dyDescent="0.2">
      <c r="A6" s="10" t="s">
        <v>144</v>
      </c>
      <c r="B6" s="10" t="s">
        <v>303</v>
      </c>
      <c r="C6" s="67">
        <v>100.91666666666667</v>
      </c>
      <c r="D6" s="67">
        <v>108.08333333333333</v>
      </c>
      <c r="E6" s="67">
        <v>106.91666666666667</v>
      </c>
      <c r="F6" s="67">
        <v>105.83333333333333</v>
      </c>
      <c r="G6" s="67">
        <v>87.583333333333329</v>
      </c>
      <c r="H6" s="67">
        <v>75.083333333333329</v>
      </c>
      <c r="I6" s="67">
        <v>57.583333333333336</v>
      </c>
      <c r="J6" s="67">
        <v>73.833333333333329</v>
      </c>
      <c r="K6" s="67">
        <v>68.583333333333329</v>
      </c>
      <c r="L6" s="67">
        <v>76.166666666666671</v>
      </c>
      <c r="M6" s="67">
        <v>92</v>
      </c>
      <c r="N6" s="46">
        <f>AvgMonthlyPop_YearlybySector[[#This Row],[2025]]/AvgMonthlyPop_YearlybySector[[#This Row],[2015]]-1</f>
        <v>-8.8356729975227144E-2</v>
      </c>
      <c r="O6" s="46">
        <f>AvgMonthlyPop_YearlybySector[[#This Row],[2025]]/AvgMonthlyPop_YearlybySector[[#This Row],[2024]]-1</f>
        <v>0.20787746170678334</v>
      </c>
    </row>
    <row r="7" spans="1:15" x14ac:dyDescent="0.2">
      <c r="A7" s="20" t="s">
        <v>144</v>
      </c>
      <c r="B7" s="20" t="s">
        <v>20</v>
      </c>
      <c r="C7" s="5">
        <v>222.91666666666666</v>
      </c>
      <c r="D7" s="5">
        <v>196.16666666666666</v>
      </c>
      <c r="E7" s="5">
        <v>131.41666666666666</v>
      </c>
      <c r="F7" s="5">
        <v>165.58333333333334</v>
      </c>
      <c r="G7" s="5">
        <v>147</v>
      </c>
      <c r="H7" s="5">
        <v>143.75</v>
      </c>
      <c r="I7" s="5">
        <v>94</v>
      </c>
      <c r="J7" s="5">
        <v>46.5</v>
      </c>
      <c r="K7" s="5">
        <v>40.333333333333336</v>
      </c>
      <c r="L7" s="5">
        <v>58.5</v>
      </c>
      <c r="M7" s="5">
        <v>63.916666666666664</v>
      </c>
      <c r="N7" s="53">
        <f>AvgMonthlyPop_YearlybySector[[#This Row],[2025]]/AvgMonthlyPop_YearlybySector[[#This Row],[2015]]-1</f>
        <v>-0.71327102803738318</v>
      </c>
      <c r="O7" s="46">
        <f>AvgMonthlyPop_YearlybySector[[#This Row],[2025]]/AvgMonthlyPop_YearlybySector[[#This Row],[2024]]-1</f>
        <v>9.259259259259256E-2</v>
      </c>
    </row>
    <row r="8" spans="1:15" x14ac:dyDescent="0.2">
      <c r="A8" s="20" t="s">
        <v>144</v>
      </c>
      <c r="B8" s="20" t="s">
        <v>21</v>
      </c>
      <c r="C8" s="5">
        <v>713.5</v>
      </c>
      <c r="D8" s="5">
        <v>656</v>
      </c>
      <c r="E8" s="5">
        <v>629.58333333333337</v>
      </c>
      <c r="F8" s="5">
        <v>622.58333333333337</v>
      </c>
      <c r="G8" s="5">
        <v>624.33333333333337</v>
      </c>
      <c r="H8" s="5">
        <v>562.25</v>
      </c>
      <c r="I8" s="5">
        <v>408.83333333333331</v>
      </c>
      <c r="J8" s="5">
        <v>333.91666666666669</v>
      </c>
      <c r="K8" s="5">
        <v>332.41666666666669</v>
      </c>
      <c r="L8" s="5">
        <v>295.08333333333331</v>
      </c>
      <c r="M8" s="5">
        <v>261.75</v>
      </c>
      <c r="N8" s="53">
        <f>AvgMonthlyPop_YearlybySector[[#This Row],[2025]]/AvgMonthlyPop_YearlybySector[[#This Row],[2015]]-1</f>
        <v>-0.63314646110721795</v>
      </c>
      <c r="O8" s="53">
        <f>AvgMonthlyPop_YearlybySector[[#This Row],[2025]]/AvgMonthlyPop_YearlybySector[[#This Row],[2024]]-1</f>
        <v>-0.1129624399887037</v>
      </c>
    </row>
    <row r="9" spans="1:15" x14ac:dyDescent="0.2">
      <c r="A9" s="57" t="s">
        <v>36</v>
      </c>
      <c r="B9" s="57" t="s">
        <v>36</v>
      </c>
      <c r="C9" s="63">
        <f t="shared" ref="C9:K9" si="0">SUM(C6:C8)</f>
        <v>1037.3333333333333</v>
      </c>
      <c r="D9" s="63">
        <f t="shared" si="0"/>
        <v>960.25</v>
      </c>
      <c r="E9" s="63">
        <f t="shared" si="0"/>
        <v>867.91666666666674</v>
      </c>
      <c r="F9" s="63">
        <f t="shared" si="0"/>
        <v>894</v>
      </c>
      <c r="G9" s="63">
        <f t="shared" si="0"/>
        <v>858.91666666666674</v>
      </c>
      <c r="H9" s="63">
        <f t="shared" si="0"/>
        <v>781.08333333333326</v>
      </c>
      <c r="I9" s="63">
        <f t="shared" si="0"/>
        <v>560.41666666666663</v>
      </c>
      <c r="J9" s="63">
        <f t="shared" si="0"/>
        <v>454.25</v>
      </c>
      <c r="K9" s="63">
        <f t="shared" si="0"/>
        <v>441.33333333333337</v>
      </c>
      <c r="L9" s="63">
        <v>429.75</v>
      </c>
      <c r="M9" s="63">
        <v>417.66666666666669</v>
      </c>
      <c r="N9" s="49">
        <f>AvgMonthlyPop_YearlybySector[[#This Row],[2025]]/AvgMonthlyPop_YearlybySector[[#This Row],[2015]]-1</f>
        <v>-0.59736503856041123</v>
      </c>
      <c r="O9" s="49">
        <f>AvgMonthlyPop_YearlybySector[[#This Row],[2025]]/AvgMonthlyPop_YearlybySector[[#This Row],[2024]]-1</f>
        <v>-2.8117122357960045E-2</v>
      </c>
    </row>
    <row r="10" spans="1:15" x14ac:dyDescent="0.2">
      <c r="A10" s="10" t="s">
        <v>151</v>
      </c>
      <c r="B10" s="10" t="s">
        <v>303</v>
      </c>
      <c r="C10" s="68">
        <f t="shared" ref="C10:L10" si="1">C6/C$9</f>
        <v>9.7284704370179956E-2</v>
      </c>
      <c r="D10" s="68">
        <f t="shared" si="1"/>
        <v>0.1125574937082357</v>
      </c>
      <c r="E10" s="68">
        <f t="shared" si="1"/>
        <v>0.12318771003360537</v>
      </c>
      <c r="F10" s="68">
        <f t="shared" si="1"/>
        <v>0.11838180462341535</v>
      </c>
      <c r="G10" s="68">
        <f t="shared" si="1"/>
        <v>0.10196953526729406</v>
      </c>
      <c r="H10" s="68">
        <f t="shared" si="1"/>
        <v>9.6127173797076707E-2</v>
      </c>
      <c r="I10" s="68">
        <f t="shared" si="1"/>
        <v>0.10275092936802975</v>
      </c>
      <c r="J10" s="68">
        <f t="shared" si="1"/>
        <v>0.1625389836727206</v>
      </c>
      <c r="K10" s="68">
        <f t="shared" si="1"/>
        <v>0.1554003021148036</v>
      </c>
      <c r="L10" s="68">
        <f t="shared" si="1"/>
        <v>0.17723482644948615</v>
      </c>
      <c r="M10" s="68">
        <f t="shared" ref="M10" si="2">M6/M$9</f>
        <v>0.22027134876296886</v>
      </c>
      <c r="N10" s="69">
        <f>100*(AvgMonthlyPop_YearlybySector[[#This Row],[2025]]-AvgMonthlyPop_YearlybySector[[#This Row],[2015]])</f>
        <v>12.298664439278891</v>
      </c>
      <c r="O10" s="69">
        <f>100*(AvgMonthlyPop_YearlybySector[[#This Row],[2025]]-AvgMonthlyPop_YearlybySector[[#This Row],[2024]])</f>
        <v>4.3036522313482708</v>
      </c>
    </row>
    <row r="11" spans="1:15" x14ac:dyDescent="0.2">
      <c r="A11" s="20" t="s">
        <v>151</v>
      </c>
      <c r="B11" s="20" t="s">
        <v>20</v>
      </c>
      <c r="C11" s="70">
        <f t="shared" ref="C11:L11" si="3">C7/C$9</f>
        <v>0.21489395886889462</v>
      </c>
      <c r="D11" s="70">
        <f t="shared" si="3"/>
        <v>0.20428707801787727</v>
      </c>
      <c r="E11" s="70">
        <f t="shared" si="3"/>
        <v>0.15141622659625537</v>
      </c>
      <c r="F11" s="70">
        <f t="shared" si="3"/>
        <v>0.18521625652498136</v>
      </c>
      <c r="G11" s="70">
        <f t="shared" si="3"/>
        <v>0.17114582322693314</v>
      </c>
      <c r="H11" s="70">
        <f t="shared" si="3"/>
        <v>0.18403926170916465</v>
      </c>
      <c r="I11" s="70">
        <f t="shared" si="3"/>
        <v>0.16773234200743495</v>
      </c>
      <c r="J11" s="70">
        <f t="shared" si="3"/>
        <v>0.10236653824986242</v>
      </c>
      <c r="K11" s="70">
        <f t="shared" si="3"/>
        <v>9.1389728096676739E-2</v>
      </c>
      <c r="L11" s="70">
        <f t="shared" si="3"/>
        <v>0.13612565445026178</v>
      </c>
      <c r="M11" s="70">
        <f t="shared" ref="M11:M13" si="4">M7/M$9</f>
        <v>0.15303272146847566</v>
      </c>
      <c r="N11" s="64">
        <f>100*(AvgMonthlyPop_YearlybySector[[#This Row],[2025]]-AvgMonthlyPop_YearlybySector[[#This Row],[2015]])</f>
        <v>-6.1861237400418965</v>
      </c>
      <c r="O11" s="69">
        <f>100*(AvgMonthlyPop_YearlybySector[[#This Row],[2025]]-AvgMonthlyPop_YearlybySector[[#This Row],[2024]])</f>
        <v>1.6907067018213873</v>
      </c>
    </row>
    <row r="12" spans="1:15" x14ac:dyDescent="0.2">
      <c r="A12" s="20" t="s">
        <v>151</v>
      </c>
      <c r="B12" s="20" t="s">
        <v>21</v>
      </c>
      <c r="C12" s="18">
        <f t="shared" ref="C12:L12" si="5">C8/C$9</f>
        <v>0.68782133676092549</v>
      </c>
      <c r="D12" s="70">
        <f t="shared" si="5"/>
        <v>0.68315542827388698</v>
      </c>
      <c r="E12" s="70">
        <f t="shared" si="5"/>
        <v>0.72539606337013918</v>
      </c>
      <c r="F12" s="70">
        <f t="shared" si="5"/>
        <v>0.69640193885160329</v>
      </c>
      <c r="G12" s="70">
        <f t="shared" si="5"/>
        <v>0.72688464150577281</v>
      </c>
      <c r="H12" s="70">
        <f t="shared" si="5"/>
        <v>0.71983356449375879</v>
      </c>
      <c r="I12" s="70">
        <f t="shared" si="5"/>
        <v>0.72951672862453532</v>
      </c>
      <c r="J12" s="70">
        <f t="shared" si="5"/>
        <v>0.73509447807741701</v>
      </c>
      <c r="K12" s="70">
        <f t="shared" si="5"/>
        <v>0.75320996978851962</v>
      </c>
      <c r="L12" s="70">
        <f t="shared" si="5"/>
        <v>0.686639519100252</v>
      </c>
      <c r="M12" s="70">
        <f t="shared" si="4"/>
        <v>0.62669592976855548</v>
      </c>
      <c r="N12" s="64">
        <f>100*(AvgMonthlyPop_YearlybySector[[#This Row],[2025]]-AvgMonthlyPop_YearlybySector[[#This Row],[2015]])</f>
        <v>-6.1125406992370017</v>
      </c>
      <c r="O12" s="64">
        <f>100*(AvgMonthlyPop_YearlybySector[[#This Row],[2025]]-AvgMonthlyPop_YearlybySector[[#This Row],[2024]])</f>
        <v>-5.9943589331696518</v>
      </c>
    </row>
    <row r="13" spans="1:15" x14ac:dyDescent="0.2">
      <c r="A13" s="3" t="s">
        <v>151</v>
      </c>
      <c r="B13" s="3" t="s">
        <v>36</v>
      </c>
      <c r="C13" s="251">
        <f t="shared" ref="C13:L13" si="6">C9/C$9</f>
        <v>1</v>
      </c>
      <c r="D13" s="251">
        <f t="shared" si="6"/>
        <v>1</v>
      </c>
      <c r="E13" s="251">
        <f t="shared" si="6"/>
        <v>1</v>
      </c>
      <c r="F13" s="251">
        <f t="shared" si="6"/>
        <v>1</v>
      </c>
      <c r="G13" s="251">
        <f t="shared" si="6"/>
        <v>1</v>
      </c>
      <c r="H13" s="251">
        <f t="shared" si="6"/>
        <v>1</v>
      </c>
      <c r="I13" s="251">
        <f t="shared" si="6"/>
        <v>1</v>
      </c>
      <c r="J13" s="251">
        <f t="shared" si="6"/>
        <v>1</v>
      </c>
      <c r="K13" s="251">
        <f t="shared" si="6"/>
        <v>1</v>
      </c>
      <c r="L13" s="251">
        <f t="shared" si="6"/>
        <v>1</v>
      </c>
      <c r="M13" s="251">
        <f t="shared" si="4"/>
        <v>1</v>
      </c>
      <c r="N13" s="50" t="s">
        <v>37</v>
      </c>
      <c r="O13" s="51" t="s">
        <v>37</v>
      </c>
    </row>
    <row r="23" spans="5:13" x14ac:dyDescent="0.2">
      <c r="E23" s="227"/>
      <c r="F23" s="227"/>
      <c r="G23" s="227"/>
      <c r="H23" s="227"/>
      <c r="I23" s="227"/>
      <c r="J23" s="227"/>
      <c r="K23" s="227"/>
      <c r="L23" s="227"/>
      <c r="M23" s="227"/>
    </row>
    <row r="24" spans="5:13" x14ac:dyDescent="0.2">
      <c r="E24" s="227"/>
      <c r="F24" s="227"/>
      <c r="G24" s="227"/>
      <c r="H24" s="227"/>
      <c r="I24" s="227"/>
      <c r="J24" s="227"/>
      <c r="K24" s="227"/>
      <c r="L24" s="227"/>
      <c r="M24" s="227"/>
    </row>
    <row r="25" spans="5:13" x14ac:dyDescent="0.2">
      <c r="E25" s="227"/>
      <c r="F25" s="227"/>
      <c r="G25" s="227"/>
      <c r="H25" s="227"/>
      <c r="I25" s="227"/>
      <c r="J25" s="227"/>
      <c r="K25" s="227"/>
      <c r="L25" s="227"/>
      <c r="M25" s="227"/>
    </row>
    <row r="26" spans="5:13" x14ac:dyDescent="0.2">
      <c r="E26" s="227"/>
      <c r="F26" s="227"/>
      <c r="G26" s="227"/>
      <c r="H26" s="227"/>
      <c r="I26" s="227"/>
      <c r="J26" s="227"/>
      <c r="K26" s="227"/>
      <c r="L26" s="227"/>
      <c r="M26" s="227"/>
    </row>
  </sheetData>
  <phoneticPr fontId="19" type="noConversion"/>
  <pageMargins left="0.7" right="0.7" top="0.75" bottom="0.75" header="0.3" footer="0.3"/>
  <ignoredErrors>
    <ignoredError sqref="M10:M13 M6:M9" calculatedColumn="1"/>
  </ignoredErrors>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70E13C-FAA9-4286-8134-54F7EBD0F668}">
  <sheetPr codeName="Sheet5"/>
  <dimension ref="A1:O14"/>
  <sheetViews>
    <sheetView zoomScaleNormal="100" workbookViewId="0"/>
  </sheetViews>
  <sheetFormatPr defaultColWidth="8.6640625" defaultRowHeight="15" x14ac:dyDescent="0.2"/>
  <cols>
    <col min="1" max="1" width="18.6640625" customWidth="1"/>
    <col min="2" max="2" width="22.88671875" customWidth="1"/>
    <col min="14" max="15" width="11.6640625" customWidth="1"/>
  </cols>
  <sheetData>
    <row r="1" spans="1:15" ht="15.75" x14ac:dyDescent="0.2">
      <c r="A1" s="38" t="s">
        <v>266</v>
      </c>
      <c r="B1" s="38"/>
      <c r="C1" s="12"/>
      <c r="D1" s="12"/>
      <c r="E1" s="12"/>
      <c r="F1" s="12"/>
      <c r="G1" s="12"/>
      <c r="H1" s="12"/>
      <c r="I1" s="12"/>
      <c r="J1" s="12"/>
      <c r="K1" s="12"/>
      <c r="L1" s="12"/>
      <c r="M1" s="12"/>
      <c r="N1" s="12"/>
      <c r="O1" s="12"/>
    </row>
    <row r="2" spans="1:15" x14ac:dyDescent="0.2">
      <c r="A2" s="4" t="s">
        <v>121</v>
      </c>
      <c r="B2" s="4"/>
      <c r="C2" s="18"/>
      <c r="D2" s="18"/>
      <c r="E2" s="18"/>
      <c r="F2" s="18"/>
      <c r="G2" s="18"/>
      <c r="H2" s="18"/>
      <c r="I2" s="18"/>
      <c r="J2" s="18"/>
      <c r="K2" s="18"/>
      <c r="L2" s="18"/>
      <c r="M2" s="18"/>
      <c r="N2" s="12"/>
      <c r="O2" s="12"/>
    </row>
    <row r="3" spans="1:15" x14ac:dyDescent="0.2">
      <c r="A3" t="s">
        <v>277</v>
      </c>
      <c r="B3" s="4"/>
      <c r="C3" s="18"/>
      <c r="D3" s="18"/>
      <c r="E3" s="18"/>
      <c r="F3" s="18"/>
      <c r="G3" s="18"/>
      <c r="H3" s="18"/>
      <c r="I3" s="18"/>
      <c r="J3" s="18"/>
      <c r="K3" s="18"/>
      <c r="L3" s="18"/>
      <c r="M3" s="18"/>
      <c r="N3" s="12"/>
      <c r="O3" s="12"/>
    </row>
    <row r="4" spans="1:15" x14ac:dyDescent="0.2">
      <c r="A4" s="4" t="s">
        <v>146</v>
      </c>
      <c r="B4" s="4"/>
      <c r="C4" s="18"/>
      <c r="D4" s="18"/>
      <c r="E4" s="18"/>
      <c r="F4" s="18"/>
      <c r="G4" s="18"/>
      <c r="H4" s="18"/>
      <c r="I4" s="18"/>
      <c r="J4" s="18"/>
      <c r="K4" s="18"/>
      <c r="L4" s="18"/>
      <c r="M4" s="18"/>
      <c r="N4" s="12"/>
      <c r="O4" s="12"/>
    </row>
    <row r="5" spans="1:15" ht="38.25" x14ac:dyDescent="0.2">
      <c r="A5" s="44" t="s">
        <v>160</v>
      </c>
      <c r="B5" s="44" t="s">
        <v>42</v>
      </c>
      <c r="C5" s="45" t="s">
        <v>113</v>
      </c>
      <c r="D5" s="45" t="s">
        <v>114</v>
      </c>
      <c r="E5" s="45" t="s">
        <v>115</v>
      </c>
      <c r="F5" s="45" t="s">
        <v>116</v>
      </c>
      <c r="G5" s="45" t="s">
        <v>117</v>
      </c>
      <c r="H5" s="45" t="s">
        <v>118</v>
      </c>
      <c r="I5" s="45" t="s">
        <v>119</v>
      </c>
      <c r="J5" s="45" t="s">
        <v>120</v>
      </c>
      <c r="K5" s="45" t="s">
        <v>164</v>
      </c>
      <c r="L5" s="45" t="s">
        <v>187</v>
      </c>
      <c r="M5" s="45" t="s">
        <v>236</v>
      </c>
      <c r="N5" s="45" t="s">
        <v>238</v>
      </c>
      <c r="O5" s="45" t="s">
        <v>239</v>
      </c>
    </row>
    <row r="6" spans="1:15" x14ac:dyDescent="0.2">
      <c r="A6" s="20" t="s">
        <v>144</v>
      </c>
      <c r="B6" s="3" t="s">
        <v>43</v>
      </c>
      <c r="C6" s="5">
        <f t="shared" ref="C6:M6" si="0">SUM(C7:C10)</f>
        <v>1037.3333333333335</v>
      </c>
      <c r="D6" s="5">
        <f t="shared" si="0"/>
        <v>960.25</v>
      </c>
      <c r="E6" s="5">
        <f t="shared" si="0"/>
        <v>867.91666666666674</v>
      </c>
      <c r="F6" s="5">
        <f t="shared" si="0"/>
        <v>894</v>
      </c>
      <c r="G6" s="5">
        <f t="shared" si="0"/>
        <v>858.91666666666663</v>
      </c>
      <c r="H6" s="5">
        <f t="shared" si="0"/>
        <v>781.08333333333337</v>
      </c>
      <c r="I6" s="5">
        <f t="shared" si="0"/>
        <v>560.41666666666663</v>
      </c>
      <c r="J6" s="5">
        <f t="shared" si="0"/>
        <v>454.25</v>
      </c>
      <c r="K6" s="5">
        <f t="shared" si="0"/>
        <v>441.33333333333337</v>
      </c>
      <c r="L6" s="5">
        <f t="shared" si="0"/>
        <v>429.75</v>
      </c>
      <c r="M6" s="5">
        <f t="shared" si="0"/>
        <v>417.66666666666669</v>
      </c>
      <c r="N6" s="53">
        <f>AvgMonthlyPop_YearlybyLegalBasis[[#This Row],[2025]]/AvgMonthlyPop_YearlybyLegalBasis[[#This Row],[2015]]-1</f>
        <v>-0.59736503856041134</v>
      </c>
      <c r="O6" s="53">
        <f>AvgMonthlyPop_YearlybyLegalBasis[[#This Row],[2025]]/AvgMonthlyPop_YearlybyLegalBasis[[#This Row],[2024]]-1</f>
        <v>-2.8117122357960045E-2</v>
      </c>
    </row>
    <row r="7" spans="1:15" x14ac:dyDescent="0.2">
      <c r="A7" s="20" t="s">
        <v>144</v>
      </c>
      <c r="B7" s="20" t="s">
        <v>38</v>
      </c>
      <c r="C7" s="5">
        <v>239.75</v>
      </c>
      <c r="D7" s="5">
        <v>212.08333333333334</v>
      </c>
      <c r="E7" s="5">
        <v>183.08333333333334</v>
      </c>
      <c r="F7" s="5">
        <v>217.16666666666666</v>
      </c>
      <c r="G7" s="5">
        <v>243.08333333333334</v>
      </c>
      <c r="H7" s="5">
        <v>239.58333333333334</v>
      </c>
      <c r="I7" s="5">
        <v>224.41666666666666</v>
      </c>
      <c r="J7" s="5">
        <v>206.5</v>
      </c>
      <c r="K7" s="5">
        <v>195.58333333333334</v>
      </c>
      <c r="L7" s="5">
        <v>184.66666666666666</v>
      </c>
      <c r="M7" s="5">
        <v>182.91666666666666</v>
      </c>
      <c r="N7" s="53">
        <f>AvgMonthlyPop_YearlybyLegalBasis[[#This Row],[2025]]/AvgMonthlyPop_YearlybyLegalBasis[[#This Row],[2015]]-1</f>
        <v>-0.23705248522766775</v>
      </c>
      <c r="O7" s="53">
        <f>AvgMonthlyPop_YearlybyLegalBasis[[#This Row],[2025]]/AvgMonthlyPop_YearlybyLegalBasis[[#This Row],[2024]]-1</f>
        <v>-9.4765342960289045E-3</v>
      </c>
    </row>
    <row r="8" spans="1:15" x14ac:dyDescent="0.2">
      <c r="A8" s="20" t="s">
        <v>144</v>
      </c>
      <c r="B8" s="20" t="s">
        <v>39</v>
      </c>
      <c r="C8" s="5">
        <v>555.08333333333337</v>
      </c>
      <c r="D8" s="5">
        <v>499.66666666666669</v>
      </c>
      <c r="E8" s="5">
        <v>429.16666666666669</v>
      </c>
      <c r="F8" s="5">
        <v>403.41666666666669</v>
      </c>
      <c r="G8" s="5">
        <v>315.08333333333331</v>
      </c>
      <c r="H8" s="5">
        <v>272.5</v>
      </c>
      <c r="I8" s="5">
        <v>158.41666666666666</v>
      </c>
      <c r="J8" s="5">
        <v>105.66666666666667</v>
      </c>
      <c r="K8" s="5">
        <v>105.08333333333333</v>
      </c>
      <c r="L8" s="5">
        <v>106.25</v>
      </c>
      <c r="M8" s="5">
        <v>95.833333333333329</v>
      </c>
      <c r="N8" s="53">
        <f>AvgMonthlyPop_YearlybyLegalBasis[[#This Row],[2025]]/AvgMonthlyPop_YearlybyLegalBasis[[#This Row],[2015]]-1</f>
        <v>-0.82735325026272333</v>
      </c>
      <c r="O8" s="53">
        <f>AvgMonthlyPop_YearlybyLegalBasis[[#This Row],[2025]]/AvgMonthlyPop_YearlybyLegalBasis[[#This Row],[2024]]-1</f>
        <v>-9.8039215686274606E-2</v>
      </c>
    </row>
    <row r="9" spans="1:15" x14ac:dyDescent="0.2">
      <c r="A9" s="20" t="s">
        <v>144</v>
      </c>
      <c r="B9" s="20" t="s">
        <v>112</v>
      </c>
      <c r="C9" s="5">
        <v>201.08333333333334</v>
      </c>
      <c r="D9" s="5">
        <v>205.75</v>
      </c>
      <c r="E9" s="5">
        <v>209.58333333333334</v>
      </c>
      <c r="F9" s="5">
        <v>224.25</v>
      </c>
      <c r="G9" s="5">
        <v>244.25</v>
      </c>
      <c r="H9" s="5">
        <v>216.25</v>
      </c>
      <c r="I9" s="5">
        <v>133.25</v>
      </c>
      <c r="J9" s="5">
        <v>110.33333333333333</v>
      </c>
      <c r="K9" s="5">
        <v>91.166666666666671</v>
      </c>
      <c r="L9" s="5">
        <v>77.416666666666671</v>
      </c>
      <c r="M9" s="5">
        <v>69.75</v>
      </c>
      <c r="N9" s="53">
        <f>AvgMonthlyPop_YearlybyLegalBasis[[#This Row],[2025]]/AvgMonthlyPop_YearlybyLegalBasis[[#This Row],[2015]]-1</f>
        <v>-0.6531288852051389</v>
      </c>
      <c r="O9" s="53">
        <f>AvgMonthlyPop_YearlybyLegalBasis[[#This Row],[2025]]/AvgMonthlyPop_YearlybyLegalBasis[[#This Row],[2024]]-1</f>
        <v>-9.9031216361679331E-2</v>
      </c>
    </row>
    <row r="10" spans="1:15" x14ac:dyDescent="0.2">
      <c r="A10" s="42" t="s">
        <v>144</v>
      </c>
      <c r="B10" s="42" t="s">
        <v>267</v>
      </c>
      <c r="C10" s="54">
        <v>41.416666666666664</v>
      </c>
      <c r="D10" s="54">
        <v>42.75</v>
      </c>
      <c r="E10" s="54">
        <v>46.083333333333336</v>
      </c>
      <c r="F10" s="54">
        <v>49.166666666666664</v>
      </c>
      <c r="G10" s="54">
        <v>56.5</v>
      </c>
      <c r="H10" s="54">
        <v>52.75</v>
      </c>
      <c r="I10" s="54">
        <v>44.333333333333336</v>
      </c>
      <c r="J10" s="54">
        <v>31.75</v>
      </c>
      <c r="K10" s="54">
        <v>49.5</v>
      </c>
      <c r="L10" s="54">
        <v>61.416666666666664</v>
      </c>
      <c r="M10" s="54">
        <v>69.166666666666671</v>
      </c>
      <c r="N10" s="49">
        <f>AvgMonthlyPop_YearlybyLegalBasis[[#This Row],[2025]]/AvgMonthlyPop_YearlybyLegalBasis[[#This Row],[2015]]-1</f>
        <v>0.67002012072434636</v>
      </c>
      <c r="O10" s="49">
        <f>AvgMonthlyPop_YearlybyLegalBasis[[#This Row],[2025]]/AvgMonthlyPop_YearlybyLegalBasis[[#This Row],[2024]]-1</f>
        <v>0.12618724559023087</v>
      </c>
    </row>
    <row r="11" spans="1:15" x14ac:dyDescent="0.2">
      <c r="A11" s="41" t="s">
        <v>151</v>
      </c>
      <c r="B11" s="20" t="s">
        <v>38</v>
      </c>
      <c r="C11" s="18">
        <f t="shared" ref="C11:L11" si="1">C7/C$6</f>
        <v>0.2311214652956298</v>
      </c>
      <c r="D11" s="18">
        <f t="shared" si="1"/>
        <v>0.22086262258092512</v>
      </c>
      <c r="E11" s="18">
        <f t="shared" si="1"/>
        <v>0.21094575132021123</v>
      </c>
      <c r="F11" s="18">
        <f t="shared" si="1"/>
        <v>0.24291573452647278</v>
      </c>
      <c r="G11" s="18">
        <f t="shared" si="1"/>
        <v>0.28301154555156693</v>
      </c>
      <c r="H11" s="18">
        <f t="shared" si="1"/>
        <v>0.30673210284860769</v>
      </c>
      <c r="I11" s="18">
        <f t="shared" si="1"/>
        <v>0.40044609665427511</v>
      </c>
      <c r="J11" s="18">
        <f t="shared" si="1"/>
        <v>0.45459548706659331</v>
      </c>
      <c r="K11" s="18">
        <f t="shared" si="1"/>
        <v>0.44316465256797583</v>
      </c>
      <c r="L11" s="18">
        <f t="shared" si="1"/>
        <v>0.42970719410509983</v>
      </c>
      <c r="M11" s="18">
        <f>M7/M$6</f>
        <v>0.43794892258579404</v>
      </c>
      <c r="N11" s="188">
        <f>100*(AvgMonthlyPop_YearlybyLegalBasis[[#This Row],[2025]]-AvgMonthlyPop_YearlybyLegalBasis[[#This Row],[2015]])</f>
        <v>20.682745729016425</v>
      </c>
      <c r="O11" s="188">
        <f>100*(AvgMonthlyPop_YearlybyLegalBasis[[#This Row],[2025]]-AvgMonthlyPop_YearlybyLegalBasis[[#This Row],[2024]])</f>
        <v>0.82417284806942104</v>
      </c>
    </row>
    <row r="12" spans="1:15" x14ac:dyDescent="0.2">
      <c r="A12" s="41" t="s">
        <v>151</v>
      </c>
      <c r="B12" s="20" t="s">
        <v>39</v>
      </c>
      <c r="C12" s="18">
        <f t="shared" ref="C12:L12" si="2">C8/C$6</f>
        <v>0.53510604113110538</v>
      </c>
      <c r="D12" s="18">
        <f t="shared" si="2"/>
        <v>0.52035060314154302</v>
      </c>
      <c r="E12" s="18">
        <f t="shared" si="2"/>
        <v>0.49447911665866534</v>
      </c>
      <c r="F12" s="18">
        <f t="shared" si="2"/>
        <v>0.45124906785980612</v>
      </c>
      <c r="G12" s="18">
        <f t="shared" si="2"/>
        <v>0.36683807121373824</v>
      </c>
      <c r="H12" s="18">
        <f t="shared" si="2"/>
        <v>0.34887442654432943</v>
      </c>
      <c r="I12" s="18">
        <f t="shared" si="2"/>
        <v>0.28267657992565054</v>
      </c>
      <c r="J12" s="18">
        <f t="shared" si="2"/>
        <v>0.23261786828104936</v>
      </c>
      <c r="K12" s="18">
        <f t="shared" si="2"/>
        <v>0.23810422960725072</v>
      </c>
      <c r="L12" s="18">
        <f t="shared" si="2"/>
        <v>0.24723676556137289</v>
      </c>
      <c r="M12" s="18">
        <f t="shared" ref="M12:M14" si="3">M8/M$6</f>
        <v>0.22944932162809256</v>
      </c>
      <c r="N12" s="55">
        <f>100*(AvgMonthlyPop_YearlybyLegalBasis[[#This Row],[2025]]-AvgMonthlyPop_YearlybyLegalBasis[[#This Row],[2015]])</f>
        <v>-30.565671950301283</v>
      </c>
      <c r="O12" s="55">
        <f>100*(AvgMonthlyPop_YearlybyLegalBasis[[#This Row],[2025]]-AvgMonthlyPop_YearlybyLegalBasis[[#This Row],[2024]])</f>
        <v>-1.7787443933280329</v>
      </c>
    </row>
    <row r="13" spans="1:15" x14ac:dyDescent="0.2">
      <c r="A13" s="41" t="s">
        <v>151</v>
      </c>
      <c r="B13" s="20" t="s">
        <v>112</v>
      </c>
      <c r="C13" s="18">
        <f t="shared" ref="C13:L13" si="4">C9/C$6</f>
        <v>0.1938464010282776</v>
      </c>
      <c r="D13" s="18">
        <f t="shared" si="4"/>
        <v>0.21426711793803696</v>
      </c>
      <c r="E13" s="18">
        <f t="shared" si="4"/>
        <v>0.24147863658185309</v>
      </c>
      <c r="F13" s="18">
        <f t="shared" si="4"/>
        <v>0.25083892617449666</v>
      </c>
      <c r="G13" s="18">
        <f t="shared" si="4"/>
        <v>0.28436984573590762</v>
      </c>
      <c r="H13" s="18">
        <f t="shared" si="4"/>
        <v>0.27685906326683024</v>
      </c>
      <c r="I13" s="18">
        <f t="shared" si="4"/>
        <v>0.23776951672862456</v>
      </c>
      <c r="J13" s="18">
        <f t="shared" si="4"/>
        <v>0.24289121262153732</v>
      </c>
      <c r="K13" s="18">
        <f t="shared" si="4"/>
        <v>0.20657099697885195</v>
      </c>
      <c r="L13" s="18">
        <f t="shared" si="4"/>
        <v>0.18014349427961995</v>
      </c>
      <c r="M13" s="18">
        <f t="shared" si="3"/>
        <v>0.16699920191540302</v>
      </c>
      <c r="N13" s="55">
        <f>100*(AvgMonthlyPop_YearlybyLegalBasis[[#This Row],[2025]]-AvgMonthlyPop_YearlybyLegalBasis[[#This Row],[2015]])</f>
        <v>-2.6847199112874587</v>
      </c>
      <c r="O13" s="55">
        <f>100*(AvgMonthlyPop_YearlybyLegalBasis[[#This Row],[2025]]-AvgMonthlyPop_YearlybyLegalBasis[[#This Row],[2024]])</f>
        <v>-1.3144292364216936</v>
      </c>
    </row>
    <row r="14" spans="1:15" x14ac:dyDescent="0.2">
      <c r="A14" s="43" t="s">
        <v>151</v>
      </c>
      <c r="B14" s="42" t="s">
        <v>267</v>
      </c>
      <c r="C14" s="56">
        <f t="shared" ref="C14:L14" si="5">C10/C$6</f>
        <v>3.9926092544987135E-2</v>
      </c>
      <c r="D14" s="56">
        <f t="shared" si="5"/>
        <v>4.4519656339494923E-2</v>
      </c>
      <c r="E14" s="56">
        <f t="shared" si="5"/>
        <v>5.309649543927028E-2</v>
      </c>
      <c r="F14" s="56">
        <f t="shared" si="5"/>
        <v>5.4996271439224455E-2</v>
      </c>
      <c r="G14" s="56">
        <f t="shared" si="5"/>
        <v>6.5780537498787234E-2</v>
      </c>
      <c r="H14" s="56">
        <f t="shared" si="5"/>
        <v>6.7534407340232583E-2</v>
      </c>
      <c r="I14" s="56">
        <f t="shared" si="5"/>
        <v>7.9107806691449817E-2</v>
      </c>
      <c r="J14" s="56">
        <f t="shared" si="5"/>
        <v>6.9895432030820034E-2</v>
      </c>
      <c r="K14" s="56">
        <f t="shared" si="5"/>
        <v>0.11216012084592145</v>
      </c>
      <c r="L14" s="56">
        <f t="shared" si="5"/>
        <v>0.1429125460539073</v>
      </c>
      <c r="M14" s="56">
        <f t="shared" si="3"/>
        <v>0.1656025538707103</v>
      </c>
      <c r="N14" s="189">
        <f>100*(AvgMonthlyPop_YearlybyLegalBasis[[#This Row],[2025]]-AvgMonthlyPop_YearlybyLegalBasis[[#This Row],[2015]])</f>
        <v>12.567646132572316</v>
      </c>
      <c r="O14" s="189">
        <f>100*(AvgMonthlyPop_YearlybyLegalBasis[[#This Row],[2025]]-AvgMonthlyPop_YearlybyLegalBasis[[#This Row],[2024]])</f>
        <v>2.2690007816802997</v>
      </c>
    </row>
  </sheetData>
  <phoneticPr fontId="19" type="noConversion"/>
  <pageMargins left="0.7" right="0.7" top="0.75" bottom="0.75" header="0.3" footer="0.3"/>
  <pageSetup paperSize="9" orientation="portrait" r:id="rId1"/>
  <ignoredErrors>
    <ignoredError sqref="N6:N10 N11:N14 O6:O10 O11:O14" calculatedColumn="1"/>
  </ignoredErrors>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A85651-7EDF-4047-A00F-55F6A823F53B}">
  <sheetPr codeName="Sheet6"/>
  <dimension ref="A1:O25"/>
  <sheetViews>
    <sheetView zoomScaleNormal="100" workbookViewId="0"/>
  </sheetViews>
  <sheetFormatPr defaultColWidth="8.6640625" defaultRowHeight="15" x14ac:dyDescent="0.2"/>
  <cols>
    <col min="1" max="1" width="18.6640625" bestFit="1" customWidth="1"/>
    <col min="2" max="2" width="23.5546875" bestFit="1" customWidth="1"/>
    <col min="14" max="15" width="11.6640625" customWidth="1"/>
  </cols>
  <sheetData>
    <row r="1" spans="1:15" ht="15.75" x14ac:dyDescent="0.2">
      <c r="A1" s="38" t="s">
        <v>264</v>
      </c>
      <c r="B1" s="38"/>
      <c r="C1" s="12"/>
      <c r="D1" s="12"/>
      <c r="E1" s="12"/>
      <c r="F1" s="12"/>
      <c r="G1" s="12"/>
      <c r="H1" s="12"/>
      <c r="I1" s="12"/>
      <c r="J1" s="12"/>
      <c r="K1" s="12"/>
      <c r="L1" s="12"/>
      <c r="M1" s="12"/>
      <c r="N1" s="12"/>
      <c r="O1" s="12"/>
    </row>
    <row r="2" spans="1:15" x14ac:dyDescent="0.2">
      <c r="A2" s="4" t="s">
        <v>121</v>
      </c>
      <c r="B2" s="4"/>
      <c r="C2" s="12"/>
      <c r="D2" s="12"/>
      <c r="E2" s="12"/>
      <c r="F2" s="12"/>
      <c r="G2" s="12"/>
      <c r="H2" s="12"/>
      <c r="I2" s="12"/>
      <c r="J2" s="12"/>
      <c r="K2" s="12"/>
      <c r="L2" s="12"/>
      <c r="M2" s="12"/>
      <c r="N2" s="12"/>
      <c r="O2" s="12"/>
    </row>
    <row r="3" spans="1:15" x14ac:dyDescent="0.2">
      <c r="A3" s="4" t="s">
        <v>146</v>
      </c>
      <c r="B3" s="4"/>
      <c r="C3" s="12"/>
      <c r="D3" s="12"/>
      <c r="E3" s="12"/>
      <c r="F3" s="12"/>
      <c r="G3" s="12"/>
      <c r="H3" s="12"/>
      <c r="I3" s="12"/>
      <c r="J3" s="12"/>
      <c r="K3" s="12"/>
      <c r="L3" s="12"/>
      <c r="M3" s="12"/>
      <c r="N3" s="12"/>
      <c r="O3" s="12"/>
    </row>
    <row r="4" spans="1:15" x14ac:dyDescent="0.2">
      <c r="A4" s="4" t="s">
        <v>301</v>
      </c>
      <c r="B4" s="4"/>
      <c r="C4" s="50"/>
      <c r="D4" s="50"/>
      <c r="E4" s="50"/>
      <c r="F4" s="50"/>
      <c r="G4" s="50"/>
      <c r="H4" s="50"/>
      <c r="I4" s="50"/>
      <c r="J4" s="50"/>
      <c r="K4" s="50"/>
      <c r="L4" s="50"/>
      <c r="M4" s="51"/>
      <c r="N4" s="51"/>
      <c r="O4" s="50" t="s">
        <v>35</v>
      </c>
    </row>
    <row r="5" spans="1:15" ht="38.25" x14ac:dyDescent="0.2">
      <c r="A5" s="71" t="s">
        <v>160</v>
      </c>
      <c r="B5" s="71" t="s">
        <v>44</v>
      </c>
      <c r="C5" s="58" t="s">
        <v>113</v>
      </c>
      <c r="D5" s="58" t="s">
        <v>114</v>
      </c>
      <c r="E5" s="58" t="s">
        <v>115</v>
      </c>
      <c r="F5" s="58" t="s">
        <v>116</v>
      </c>
      <c r="G5" s="58" t="s">
        <v>117</v>
      </c>
      <c r="H5" s="58" t="s">
        <v>118</v>
      </c>
      <c r="I5" s="58" t="s">
        <v>119</v>
      </c>
      <c r="J5" s="58" t="s">
        <v>120</v>
      </c>
      <c r="K5" s="58" t="s">
        <v>164</v>
      </c>
      <c r="L5" s="58" t="s">
        <v>187</v>
      </c>
      <c r="M5" s="58" t="s">
        <v>236</v>
      </c>
      <c r="N5" s="58" t="s">
        <v>238</v>
      </c>
      <c r="O5" s="58" t="s">
        <v>239</v>
      </c>
    </row>
    <row r="6" spans="1:15" x14ac:dyDescent="0.2">
      <c r="A6" s="10" t="s">
        <v>144</v>
      </c>
      <c r="B6" s="10" t="s">
        <v>265</v>
      </c>
      <c r="C6" s="72">
        <v>20.666666666666668</v>
      </c>
      <c r="D6" s="72">
        <v>15.5</v>
      </c>
      <c r="E6" s="72">
        <v>2.4166666666666665</v>
      </c>
      <c r="F6" s="72">
        <v>21.083333333333332</v>
      </c>
      <c r="G6" s="73">
        <v>54</v>
      </c>
      <c r="H6" s="72">
        <v>63.916666666666664</v>
      </c>
      <c r="I6" s="72">
        <v>42.166666666666664</v>
      </c>
      <c r="J6" s="74">
        <v>33</v>
      </c>
      <c r="K6" s="74">
        <v>31.25</v>
      </c>
      <c r="L6" s="74">
        <v>29.75</v>
      </c>
      <c r="M6" s="74">
        <v>29</v>
      </c>
      <c r="N6" s="46">
        <f>AvgMonthlyPop_YearlybyPrimaryOffence[[#This Row],[2025]]/AvgMonthlyPop_YearlybyPrimaryOffence[[#This Row],[2015]]-1</f>
        <v>0.40322580645161277</v>
      </c>
      <c r="O6" s="46">
        <f>AvgMonthlyPop_YearlybyPrimaryOffence[[#This Row],[2025]]/AvgMonthlyPop_YearlybyPrimaryOffence[[#This Row],[2024]]-1</f>
        <v>-2.5210084033613467E-2</v>
      </c>
    </row>
    <row r="7" spans="1:15" x14ac:dyDescent="0.2">
      <c r="A7" s="20" t="s">
        <v>144</v>
      </c>
      <c r="B7" s="20" t="s">
        <v>45</v>
      </c>
      <c r="C7" s="74">
        <v>146.58333333333334</v>
      </c>
      <c r="D7" s="75">
        <v>112.16666666666667</v>
      </c>
      <c r="E7" s="75">
        <v>90.833333333333329</v>
      </c>
      <c r="F7" s="75">
        <v>86.833333333333329</v>
      </c>
      <c r="G7" s="75">
        <v>65.75</v>
      </c>
      <c r="H7" s="75">
        <v>57.916666666666664</v>
      </c>
      <c r="I7" s="75">
        <v>35</v>
      </c>
      <c r="J7" s="75">
        <v>20.833333333333332</v>
      </c>
      <c r="K7" s="75">
        <v>19.333333333333332</v>
      </c>
      <c r="L7" s="75">
        <v>15.5</v>
      </c>
      <c r="M7" s="75">
        <v>15.416666666666666</v>
      </c>
      <c r="N7" s="46">
        <f>AvgMonthlyPop_YearlybyPrimaryOffence[[#This Row],[2025]]/AvgMonthlyPop_YearlybyPrimaryOffence[[#This Row],[2015]]-1</f>
        <v>-0.89482660602615127</v>
      </c>
      <c r="O7" s="46">
        <f>AvgMonthlyPop_YearlybyPrimaryOffence[[#This Row],[2025]]/AvgMonthlyPop_YearlybyPrimaryOffence[[#This Row],[2024]]-1</f>
        <v>-5.3763440860215006E-3</v>
      </c>
    </row>
    <row r="8" spans="1:15" x14ac:dyDescent="0.2">
      <c r="A8" s="20" t="s">
        <v>144</v>
      </c>
      <c r="B8" s="20" t="s">
        <v>46</v>
      </c>
      <c r="C8" s="74">
        <v>55.416666666666664</v>
      </c>
      <c r="D8" s="75">
        <v>73.333333333333329</v>
      </c>
      <c r="E8" s="75">
        <v>67.25</v>
      </c>
      <c r="F8" s="75">
        <v>57.916666666666664</v>
      </c>
      <c r="G8" s="75">
        <v>36</v>
      </c>
      <c r="H8" s="75">
        <v>23.166666666666668</v>
      </c>
      <c r="I8" s="75">
        <v>14.5</v>
      </c>
      <c r="J8" s="75">
        <v>8.9166666666666661</v>
      </c>
      <c r="K8" s="75">
        <v>7.833333333333333</v>
      </c>
      <c r="L8" s="75">
        <v>7.916666666666667</v>
      </c>
      <c r="M8" s="75">
        <v>9.9166666666666661</v>
      </c>
      <c r="N8" s="46">
        <f>AvgMonthlyPop_YearlybyPrimaryOffence[[#This Row],[2025]]/AvgMonthlyPop_YearlybyPrimaryOffence[[#This Row],[2015]]-1</f>
        <v>-0.82105263157894737</v>
      </c>
      <c r="O8" s="46">
        <f>AvgMonthlyPop_YearlybyPrimaryOffence[[#This Row],[2025]]/AvgMonthlyPop_YearlybyPrimaryOffence[[#This Row],[2024]]-1</f>
        <v>0.25263157894736832</v>
      </c>
    </row>
    <row r="9" spans="1:15" x14ac:dyDescent="0.2">
      <c r="A9" s="20" t="s">
        <v>144</v>
      </c>
      <c r="B9" s="20" t="s">
        <v>47</v>
      </c>
      <c r="C9" s="74">
        <v>304</v>
      </c>
      <c r="D9" s="75">
        <v>238.33333333333334</v>
      </c>
      <c r="E9" s="75">
        <v>202.08333333333334</v>
      </c>
      <c r="F9" s="75">
        <v>184.16666666666666</v>
      </c>
      <c r="G9" s="75">
        <v>131.5</v>
      </c>
      <c r="H9" s="75">
        <v>98</v>
      </c>
      <c r="I9" s="75">
        <v>58.916666666666664</v>
      </c>
      <c r="J9" s="75">
        <v>33.5</v>
      </c>
      <c r="K9" s="75">
        <v>28</v>
      </c>
      <c r="L9" s="75">
        <v>23.416666666666668</v>
      </c>
      <c r="M9" s="75">
        <v>14.583333333333334</v>
      </c>
      <c r="N9" s="46">
        <f>AvgMonthlyPop_YearlybyPrimaryOffence[[#This Row],[2025]]/AvgMonthlyPop_YearlybyPrimaryOffence[[#This Row],[2015]]-1</f>
        <v>-0.95202850877192979</v>
      </c>
      <c r="O9" s="46">
        <f>AvgMonthlyPop_YearlybyPrimaryOffence[[#This Row],[2025]]/AvgMonthlyPop_YearlybyPrimaryOffence[[#This Row],[2024]]-1</f>
        <v>-0.37722419928825623</v>
      </c>
    </row>
    <row r="10" spans="1:15" x14ac:dyDescent="0.2">
      <c r="A10" s="20" t="s">
        <v>144</v>
      </c>
      <c r="B10" s="20" t="s">
        <v>48</v>
      </c>
      <c r="C10" s="74">
        <v>86.916666666666671</v>
      </c>
      <c r="D10" s="75">
        <v>92.333333333333329</v>
      </c>
      <c r="E10" s="75">
        <v>79.166666666666671</v>
      </c>
      <c r="F10" s="75">
        <v>75.5</v>
      </c>
      <c r="G10" s="75">
        <v>48.333333333333336</v>
      </c>
      <c r="H10" s="75">
        <v>28.416666666666668</v>
      </c>
      <c r="I10" s="75">
        <v>17.916666666666668</v>
      </c>
      <c r="J10" s="75">
        <v>14.083333333333334</v>
      </c>
      <c r="K10" s="75">
        <v>14.083333333333334</v>
      </c>
      <c r="L10" s="75">
        <v>15.75</v>
      </c>
      <c r="M10" s="75">
        <v>20.916666666666668</v>
      </c>
      <c r="N10" s="46">
        <f>AvgMonthlyPop_YearlybyPrimaryOffence[[#This Row],[2025]]/AvgMonthlyPop_YearlybyPrimaryOffence[[#This Row],[2015]]-1</f>
        <v>-0.75934803451581978</v>
      </c>
      <c r="O10" s="46">
        <f>AvgMonthlyPop_YearlybyPrimaryOffence[[#This Row],[2025]]/AvgMonthlyPop_YearlybyPrimaryOffence[[#This Row],[2024]]-1</f>
        <v>0.32804232804232814</v>
      </c>
    </row>
    <row r="11" spans="1:15" x14ac:dyDescent="0.2">
      <c r="A11" s="20" t="s">
        <v>144</v>
      </c>
      <c r="B11" s="20" t="s">
        <v>49</v>
      </c>
      <c r="C11" s="74">
        <v>316.58333333333331</v>
      </c>
      <c r="D11" s="75">
        <v>326.25</v>
      </c>
      <c r="E11" s="75">
        <v>327.58333333333331</v>
      </c>
      <c r="F11" s="75">
        <v>362.16666666666669</v>
      </c>
      <c r="G11" s="75">
        <v>436.58333333333331</v>
      </c>
      <c r="H11" s="75">
        <v>431.75</v>
      </c>
      <c r="I11" s="75">
        <v>344.41666666666669</v>
      </c>
      <c r="J11" s="75">
        <v>307.08333333333331</v>
      </c>
      <c r="K11" s="75">
        <v>294.33333333333331</v>
      </c>
      <c r="L11" s="75">
        <v>290.33333333333331</v>
      </c>
      <c r="M11" s="75">
        <v>284.25</v>
      </c>
      <c r="N11" s="46">
        <f>AvgMonthlyPop_YearlybyPrimaryOffence[[#This Row],[2025]]/AvgMonthlyPop_YearlybyPrimaryOffence[[#This Row],[2015]]-1</f>
        <v>-0.10213214003685178</v>
      </c>
      <c r="O11" s="46">
        <f>AvgMonthlyPop_YearlybyPrimaryOffence[[#This Row],[2025]]/AvgMonthlyPop_YearlybyPrimaryOffence[[#This Row],[2024]]-1</f>
        <v>-2.0952927669345534E-2</v>
      </c>
    </row>
    <row r="12" spans="1:15" x14ac:dyDescent="0.2">
      <c r="A12" s="20" t="s">
        <v>144</v>
      </c>
      <c r="B12" s="20" t="s">
        <v>263</v>
      </c>
      <c r="C12" s="74">
        <v>107.16666666666667</v>
      </c>
      <c r="D12" s="75">
        <v>102.33333333333333</v>
      </c>
      <c r="E12" s="75">
        <v>98.583333333333329</v>
      </c>
      <c r="F12" s="75">
        <v>106.33333333333333</v>
      </c>
      <c r="G12" s="75">
        <v>86.75</v>
      </c>
      <c r="H12" s="75">
        <v>77.916666666666671</v>
      </c>
      <c r="I12" s="75">
        <v>47.5</v>
      </c>
      <c r="J12" s="75">
        <v>36.833333333333336</v>
      </c>
      <c r="K12" s="75">
        <v>46.5</v>
      </c>
      <c r="L12" s="75">
        <v>47.083333333333336</v>
      </c>
      <c r="M12" s="75">
        <v>43.583333333333336</v>
      </c>
      <c r="N12" s="46">
        <f>AvgMonthlyPop_YearlybyPrimaryOffence[[#This Row],[2025]]/AvgMonthlyPop_YearlybyPrimaryOffence[[#This Row],[2015]]-1</f>
        <v>-0.59331259720062213</v>
      </c>
      <c r="O12" s="46">
        <f>AvgMonthlyPop_YearlybyPrimaryOffence[[#This Row],[2025]]/AvgMonthlyPop_YearlybyPrimaryOffence[[#This Row],[2024]]-1</f>
        <v>-7.4336283185840735E-2</v>
      </c>
    </row>
    <row r="13" spans="1:15" x14ac:dyDescent="0.2">
      <c r="A13" s="57" t="s">
        <v>144</v>
      </c>
      <c r="B13" s="57" t="s">
        <v>36</v>
      </c>
      <c r="C13" s="76">
        <f t="shared" ref="C13:L13" si="0">SUM(C6:C12)</f>
        <v>1037.3333333333333</v>
      </c>
      <c r="D13" s="76">
        <f t="shared" si="0"/>
        <v>960.25000000000011</v>
      </c>
      <c r="E13" s="76">
        <f t="shared" si="0"/>
        <v>867.91666666666674</v>
      </c>
      <c r="F13" s="76">
        <f t="shared" si="0"/>
        <v>894.00000000000011</v>
      </c>
      <c r="G13" s="76">
        <f t="shared" si="0"/>
        <v>858.91666666666663</v>
      </c>
      <c r="H13" s="76">
        <f t="shared" si="0"/>
        <v>781.08333333333337</v>
      </c>
      <c r="I13" s="76">
        <f t="shared" si="0"/>
        <v>560.41666666666663</v>
      </c>
      <c r="J13" s="76">
        <f t="shared" si="0"/>
        <v>454.24999999999994</v>
      </c>
      <c r="K13" s="76">
        <f t="shared" si="0"/>
        <v>441.33333333333331</v>
      </c>
      <c r="L13" s="76">
        <f t="shared" si="0"/>
        <v>429.74999999999994</v>
      </c>
      <c r="M13" s="76">
        <f t="shared" ref="M13" si="1">SUM(M6:M12)</f>
        <v>417.66666666666663</v>
      </c>
      <c r="N13" s="49">
        <f>AvgMonthlyPop_YearlybyPrimaryOffence[[#This Row],[2025]]/AvgMonthlyPop_YearlybyPrimaryOffence[[#This Row],[2015]]-1</f>
        <v>-0.59736503856041134</v>
      </c>
      <c r="O13" s="49">
        <f>AvgMonthlyPop_YearlybyPrimaryOffence[[#This Row],[2025]]/AvgMonthlyPop_YearlybyPrimaryOffence[[#This Row],[2024]]-1</f>
        <v>-2.8117122357960045E-2</v>
      </c>
    </row>
    <row r="14" spans="1:15" x14ac:dyDescent="0.2">
      <c r="A14" s="10" t="s">
        <v>151</v>
      </c>
      <c r="B14" s="10" t="s">
        <v>265</v>
      </c>
      <c r="C14" s="19">
        <f t="shared" ref="C14:L14" si="2">C6/C$13</f>
        <v>1.9922879177377895E-2</v>
      </c>
      <c r="D14" s="19">
        <f t="shared" si="2"/>
        <v>1.6141629783910438E-2</v>
      </c>
      <c r="E14" s="13">
        <f t="shared" si="2"/>
        <v>2.7844455112818046E-3</v>
      </c>
      <c r="F14" s="13">
        <f t="shared" si="2"/>
        <v>2.358314690529455E-2</v>
      </c>
      <c r="G14" s="13">
        <f t="shared" si="2"/>
        <v>6.2869894246628505E-2</v>
      </c>
      <c r="H14" s="13">
        <f t="shared" si="2"/>
        <v>8.1830790568654638E-2</v>
      </c>
      <c r="I14" s="13">
        <f t="shared" si="2"/>
        <v>7.5241635687732344E-2</v>
      </c>
      <c r="J14" s="13">
        <f t="shared" si="2"/>
        <v>7.2647220693450754E-2</v>
      </c>
      <c r="K14" s="13">
        <f t="shared" si="2"/>
        <v>7.0808157099697885E-2</v>
      </c>
      <c r="L14" s="13">
        <f t="shared" si="2"/>
        <v>6.9226294357184415E-2</v>
      </c>
      <c r="M14" s="13">
        <f t="shared" ref="M14" si="3">M6/M$13</f>
        <v>6.9433359936153238E-2</v>
      </c>
      <c r="N14" s="69">
        <f>100*(AvgMonthlyPop_YearlybyPrimaryOffence[[#This Row],[2025]]-AvgMonthlyPop_YearlybyPrimaryOffence[[#This Row],[2015]])</f>
        <v>4.9510480758775346</v>
      </c>
      <c r="O14" s="69">
        <f>100*(AvgMonthlyPop_YearlybyPrimaryOffence[[#This Row],[2025]]-AvgMonthlyPop_YearlybyPrimaryOffence[[#This Row],[2024]])</f>
        <v>2.070655789688236E-2</v>
      </c>
    </row>
    <row r="15" spans="1:15" x14ac:dyDescent="0.2">
      <c r="A15" s="20" t="s">
        <v>151</v>
      </c>
      <c r="B15" s="20" t="s">
        <v>45</v>
      </c>
      <c r="C15" s="18">
        <f t="shared" ref="C15:L15" si="4">C7/C$13</f>
        <v>0.14130784061696661</v>
      </c>
      <c r="D15" s="18">
        <f t="shared" si="4"/>
        <v>0.11680985854378199</v>
      </c>
      <c r="E15" s="13">
        <f t="shared" si="4"/>
        <v>0.10465674507921266</v>
      </c>
      <c r="F15" s="13">
        <f t="shared" si="4"/>
        <v>9.7129008202833683E-2</v>
      </c>
      <c r="G15" s="13">
        <f t="shared" si="4"/>
        <v>7.6549917531774522E-2</v>
      </c>
      <c r="H15" s="13">
        <f t="shared" si="4"/>
        <v>7.4149151819054723E-2</v>
      </c>
      <c r="I15" s="13">
        <f t="shared" si="4"/>
        <v>6.2453531598513017E-2</v>
      </c>
      <c r="J15" s="13">
        <f t="shared" si="4"/>
        <v>4.5863144377178505E-2</v>
      </c>
      <c r="K15" s="13">
        <f t="shared" si="4"/>
        <v>4.3806646525679754E-2</v>
      </c>
      <c r="L15" s="13">
        <f t="shared" si="4"/>
        <v>3.6067481093659107E-2</v>
      </c>
      <c r="M15" s="13">
        <f t="shared" ref="M15:M21" si="5">M7/M$13</f>
        <v>3.6911412609736634E-2</v>
      </c>
      <c r="N15" s="69">
        <f>100*(AvgMonthlyPop_YearlybyPrimaryOffence[[#This Row],[2025]]-AvgMonthlyPop_YearlybyPrimaryOffence[[#This Row],[2015]])</f>
        <v>-10.439642800722998</v>
      </c>
      <c r="O15" s="69">
        <f>100*(AvgMonthlyPop_YearlybyPrimaryOffence[[#This Row],[2025]]-AvgMonthlyPop_YearlybyPrimaryOffence[[#This Row],[2024]])</f>
        <v>8.4393151607752709E-2</v>
      </c>
    </row>
    <row r="16" spans="1:15" x14ac:dyDescent="0.2">
      <c r="A16" s="20" t="s">
        <v>151</v>
      </c>
      <c r="B16" s="20" t="s">
        <v>46</v>
      </c>
      <c r="C16" s="18">
        <f t="shared" ref="C16:L16" si="6">C8/C$13</f>
        <v>5.3422236503856045E-2</v>
      </c>
      <c r="D16" s="18">
        <f t="shared" si="6"/>
        <v>7.6369001128178418E-2</v>
      </c>
      <c r="E16" s="13">
        <f t="shared" si="6"/>
        <v>7.7484397503600574E-2</v>
      </c>
      <c r="F16" s="13">
        <f t="shared" si="6"/>
        <v>6.4783743475018626E-2</v>
      </c>
      <c r="G16" s="13">
        <f t="shared" si="6"/>
        <v>4.1913262831085672E-2</v>
      </c>
      <c r="H16" s="13">
        <f t="shared" si="6"/>
        <v>2.9659660727621894E-2</v>
      </c>
      <c r="I16" s="13">
        <f t="shared" si="6"/>
        <v>2.5873605947955392E-2</v>
      </c>
      <c r="J16" s="13">
        <f t="shared" si="6"/>
        <v>1.9629425793432399E-2</v>
      </c>
      <c r="K16" s="13">
        <f t="shared" si="6"/>
        <v>1.7749244712990938E-2</v>
      </c>
      <c r="L16" s="13">
        <f t="shared" si="6"/>
        <v>1.8421562924180727E-2</v>
      </c>
      <c r="M16" s="13">
        <f t="shared" si="5"/>
        <v>2.3743016759776536E-2</v>
      </c>
      <c r="N16" s="69">
        <f>100*(AvgMonthlyPop_YearlybyPrimaryOffence[[#This Row],[2025]]-AvgMonthlyPop_YearlybyPrimaryOffence[[#This Row],[2015]])</f>
        <v>-2.9679219744079508</v>
      </c>
      <c r="O16" s="69">
        <f>100*(AvgMonthlyPop_YearlybyPrimaryOffence[[#This Row],[2025]]-AvgMonthlyPop_YearlybyPrimaryOffence[[#This Row],[2024]])</f>
        <v>0.53214538355958085</v>
      </c>
    </row>
    <row r="17" spans="1:15" x14ac:dyDescent="0.2">
      <c r="A17" s="20" t="s">
        <v>151</v>
      </c>
      <c r="B17" s="20" t="s">
        <v>47</v>
      </c>
      <c r="C17" s="18">
        <f t="shared" ref="C17:L17" si="7">C9/C$13</f>
        <v>0.29305912596401029</v>
      </c>
      <c r="D17" s="18">
        <f t="shared" si="7"/>
        <v>0.24819925366657986</v>
      </c>
      <c r="E17" s="13">
        <f t="shared" si="7"/>
        <v>0.23283725396063371</v>
      </c>
      <c r="F17" s="13">
        <f t="shared" si="7"/>
        <v>0.2060029828486204</v>
      </c>
      <c r="G17" s="13">
        <f t="shared" si="7"/>
        <v>0.15309983506354904</v>
      </c>
      <c r="H17" s="13">
        <f t="shared" si="7"/>
        <v>0.12546676624346526</v>
      </c>
      <c r="I17" s="13">
        <f t="shared" si="7"/>
        <v>0.10513011152416357</v>
      </c>
      <c r="J17" s="13">
        <f t="shared" si="7"/>
        <v>7.374793615850303E-2</v>
      </c>
      <c r="K17" s="13">
        <f t="shared" si="7"/>
        <v>6.3444108761329304E-2</v>
      </c>
      <c r="L17" s="13">
        <f t="shared" si="7"/>
        <v>5.4489044017839841E-2</v>
      </c>
      <c r="M17" s="13">
        <f>M9/M$13</f>
        <v>3.4916201117318441E-2</v>
      </c>
      <c r="N17" s="69">
        <f>100*(AvgMonthlyPop_YearlybyPrimaryOffence[[#This Row],[2025]]-AvgMonthlyPop_YearlybyPrimaryOffence[[#This Row],[2015]])</f>
        <v>-25.814292484669188</v>
      </c>
      <c r="O17" s="69">
        <f>100*(AvgMonthlyPop_YearlybyPrimaryOffence[[#This Row],[2025]]-AvgMonthlyPop_YearlybyPrimaryOffence[[#This Row],[2024]])</f>
        <v>-1.9572842900521401</v>
      </c>
    </row>
    <row r="18" spans="1:15" x14ac:dyDescent="0.2">
      <c r="A18" s="20" t="s">
        <v>151</v>
      </c>
      <c r="B18" s="20" t="s">
        <v>48</v>
      </c>
      <c r="C18" s="18">
        <f t="shared" ref="C18:L18" si="8">C10/C$13</f>
        <v>8.3788560411311067E-2</v>
      </c>
      <c r="D18" s="18">
        <f t="shared" si="8"/>
        <v>9.6155515056842819E-2</v>
      </c>
      <c r="E18" s="13">
        <f t="shared" si="8"/>
        <v>9.1214594335093616E-2</v>
      </c>
      <c r="F18" s="13">
        <f t="shared" si="8"/>
        <v>8.445190156599551E-2</v>
      </c>
      <c r="G18" s="13">
        <f t="shared" si="8"/>
        <v>5.6272436208402062E-2</v>
      </c>
      <c r="H18" s="13">
        <f t="shared" si="8"/>
        <v>3.6381094633521821E-2</v>
      </c>
      <c r="I18" s="13">
        <f t="shared" si="8"/>
        <v>3.197026022304833E-2</v>
      </c>
      <c r="J18" s="13">
        <f t="shared" si="8"/>
        <v>3.1003485598972671E-2</v>
      </c>
      <c r="K18" s="13">
        <f t="shared" si="8"/>
        <v>3.1910876132930519E-2</v>
      </c>
      <c r="L18" s="13">
        <f t="shared" si="8"/>
        <v>3.6649214659685868E-2</v>
      </c>
      <c r="M18" s="13">
        <f t="shared" si="5"/>
        <v>5.0079808459696736E-2</v>
      </c>
      <c r="N18" s="69">
        <f>100*(AvgMonthlyPop_YearlybyPrimaryOffence[[#This Row],[2025]]-AvgMonthlyPop_YearlybyPrimaryOffence[[#This Row],[2015]])</f>
        <v>-3.3708751951614331</v>
      </c>
      <c r="O18" s="69">
        <f>100*(AvgMonthlyPop_YearlybyPrimaryOffence[[#This Row],[2025]]-AvgMonthlyPop_YearlybyPrimaryOffence[[#This Row],[2024]])</f>
        <v>1.3430593800010868</v>
      </c>
    </row>
    <row r="19" spans="1:15" x14ac:dyDescent="0.2">
      <c r="A19" s="20" t="s">
        <v>151</v>
      </c>
      <c r="B19" s="20" t="s">
        <v>49</v>
      </c>
      <c r="C19" s="18">
        <f t="shared" ref="C19:L19" si="9">C11/C$13</f>
        <v>0.30518958868894602</v>
      </c>
      <c r="D19" s="18">
        <f t="shared" si="9"/>
        <v>0.33975527206456646</v>
      </c>
      <c r="E19" s="13">
        <f t="shared" si="9"/>
        <v>0.37743638982237154</v>
      </c>
      <c r="F19" s="13">
        <f t="shared" si="9"/>
        <v>0.40510812826249065</v>
      </c>
      <c r="G19" s="13">
        <f t="shared" si="9"/>
        <v>0.50829533326865239</v>
      </c>
      <c r="H19" s="13">
        <f t="shared" si="9"/>
        <v>0.55275792168996052</v>
      </c>
      <c r="I19" s="13">
        <f t="shared" si="9"/>
        <v>0.61457249070631981</v>
      </c>
      <c r="J19" s="13">
        <f t="shared" si="9"/>
        <v>0.67602274811961116</v>
      </c>
      <c r="K19" s="13">
        <f t="shared" si="9"/>
        <v>0.66691842900302112</v>
      </c>
      <c r="L19" s="13">
        <f t="shared" si="9"/>
        <v>0.67558658134574368</v>
      </c>
      <c r="M19" s="13">
        <f t="shared" si="5"/>
        <v>0.68056664006384682</v>
      </c>
      <c r="N19" s="69">
        <f>100*(AvgMonthlyPop_YearlybyPrimaryOffence[[#This Row],[2025]]-AvgMonthlyPop_YearlybyPrimaryOffence[[#This Row],[2015]])</f>
        <v>37.537705137490079</v>
      </c>
      <c r="O19" s="69">
        <f>100*(AvgMonthlyPop_YearlybyPrimaryOffence[[#This Row],[2025]]-AvgMonthlyPop_YearlybyPrimaryOffence[[#This Row],[2024]])</f>
        <v>0.49800587181031419</v>
      </c>
    </row>
    <row r="20" spans="1:15" x14ac:dyDescent="0.2">
      <c r="A20" s="20" t="s">
        <v>151</v>
      </c>
      <c r="B20" s="20" t="s">
        <v>263</v>
      </c>
      <c r="C20" s="18">
        <f t="shared" ref="C20:L20" si="10">C12/C$13</f>
        <v>0.10330976863753215</v>
      </c>
      <c r="D20" s="18">
        <f t="shared" si="10"/>
        <v>0.10656946975613987</v>
      </c>
      <c r="E20" s="13">
        <f t="shared" si="10"/>
        <v>0.11358617378780603</v>
      </c>
      <c r="F20" s="13">
        <f t="shared" si="10"/>
        <v>0.11894108873974643</v>
      </c>
      <c r="G20" s="13">
        <f t="shared" si="10"/>
        <v>0.10099932084990783</v>
      </c>
      <c r="H20" s="13">
        <f t="shared" si="10"/>
        <v>9.9754614317721119E-2</v>
      </c>
      <c r="I20" s="13">
        <f t="shared" si="10"/>
        <v>8.4758364312267659E-2</v>
      </c>
      <c r="J20" s="13">
        <f t="shared" si="10"/>
        <v>8.1086039258851605E-2</v>
      </c>
      <c r="K20" s="13">
        <f t="shared" si="10"/>
        <v>0.10536253776435046</v>
      </c>
      <c r="L20" s="13">
        <f t="shared" si="10"/>
        <v>0.10955982160170644</v>
      </c>
      <c r="M20" s="13">
        <f t="shared" si="5"/>
        <v>0.10434956105347168</v>
      </c>
      <c r="N20" s="69">
        <f>100*(AvgMonthlyPop_YearlybyPrimaryOffence[[#This Row],[2025]]-AvgMonthlyPop_YearlybyPrimaryOffence[[#This Row],[2015]])</f>
        <v>0.10397924159395305</v>
      </c>
      <c r="O20" s="69">
        <f>100*(AvgMonthlyPop_YearlybyPrimaryOffence[[#This Row],[2025]]-AvgMonthlyPop_YearlybyPrimaryOffence[[#This Row],[2024]])</f>
        <v>-0.52102605482347575</v>
      </c>
    </row>
    <row r="21" spans="1:15" x14ac:dyDescent="0.2">
      <c r="A21" s="3" t="s">
        <v>151</v>
      </c>
      <c r="B21" s="3" t="s">
        <v>36</v>
      </c>
      <c r="C21" s="53">
        <f t="shared" ref="C21:L21" si="11">C13/C$13</f>
        <v>1</v>
      </c>
      <c r="D21" s="53">
        <f t="shared" si="11"/>
        <v>1</v>
      </c>
      <c r="E21" s="53">
        <f t="shared" si="11"/>
        <v>1</v>
      </c>
      <c r="F21" s="53">
        <f t="shared" si="11"/>
        <v>1</v>
      </c>
      <c r="G21" s="53">
        <f t="shared" si="11"/>
        <v>1</v>
      </c>
      <c r="H21" s="53">
        <f t="shared" si="11"/>
        <v>1</v>
      </c>
      <c r="I21" s="53">
        <f t="shared" si="11"/>
        <v>1</v>
      </c>
      <c r="J21" s="53">
        <f t="shared" si="11"/>
        <v>1</v>
      </c>
      <c r="K21" s="53">
        <f t="shared" si="11"/>
        <v>1</v>
      </c>
      <c r="L21" s="53">
        <f t="shared" si="11"/>
        <v>1</v>
      </c>
      <c r="M21" s="53">
        <f t="shared" si="5"/>
        <v>1</v>
      </c>
      <c r="N21" s="21" t="s">
        <v>37</v>
      </c>
      <c r="O21" s="21" t="s">
        <v>37</v>
      </c>
    </row>
    <row r="25" spans="1:15" x14ac:dyDescent="0.2">
      <c r="K25" s="249"/>
    </row>
  </sheetData>
  <phoneticPr fontId="19" type="noConversion"/>
  <pageMargins left="0.7" right="0.7" top="0.75" bottom="0.75" header="0.3" footer="0.3"/>
  <pageSetup paperSize="9" orientation="portrait" r:id="rId1"/>
  <ignoredErrors>
    <ignoredError sqref="N14:N21" calculatedColumn="1"/>
  </ignoredErrors>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9F2D60-6A12-4BF1-BD11-AE1D95BE4DC7}">
  <sheetPr codeName="Sheet8"/>
  <dimension ref="A1:M16"/>
  <sheetViews>
    <sheetView workbookViewId="0"/>
  </sheetViews>
  <sheetFormatPr defaultColWidth="8.6640625" defaultRowHeight="15" x14ac:dyDescent="0.2"/>
  <cols>
    <col min="1" max="1" width="18.33203125" customWidth="1"/>
    <col min="2" max="2" width="21.33203125" customWidth="1"/>
    <col min="11" max="12" width="8.88671875" customWidth="1"/>
    <col min="13" max="13" width="9.5546875" customWidth="1"/>
  </cols>
  <sheetData>
    <row r="1" spans="1:13" ht="15.75" x14ac:dyDescent="0.2">
      <c r="A1" s="38" t="s">
        <v>343</v>
      </c>
      <c r="B1" s="1"/>
      <c r="C1" s="12"/>
      <c r="D1" s="12"/>
      <c r="E1" s="12"/>
      <c r="F1" s="12"/>
      <c r="G1" s="12"/>
      <c r="H1" s="12"/>
      <c r="I1" s="12"/>
      <c r="J1" s="12"/>
      <c r="K1" s="12"/>
      <c r="L1" s="12"/>
    </row>
    <row r="2" spans="1:13" x14ac:dyDescent="0.2">
      <c r="A2" s="39" t="s">
        <v>121</v>
      </c>
      <c r="B2" s="1"/>
      <c r="C2" s="12"/>
      <c r="D2" s="12"/>
      <c r="E2" s="12"/>
      <c r="F2" s="12"/>
      <c r="G2" s="12"/>
      <c r="H2" s="12"/>
      <c r="I2" s="12"/>
      <c r="J2" s="12"/>
      <c r="K2" s="12"/>
      <c r="L2" s="12"/>
    </row>
    <row r="3" spans="1:13" ht="51" x14ac:dyDescent="0.2">
      <c r="A3" s="95" t="s">
        <v>160</v>
      </c>
      <c r="B3" s="95" t="s">
        <v>122</v>
      </c>
      <c r="C3" s="58" t="s">
        <v>114</v>
      </c>
      <c r="D3" s="58" t="s">
        <v>115</v>
      </c>
      <c r="E3" s="58" t="s">
        <v>116</v>
      </c>
      <c r="F3" s="58" t="s">
        <v>117</v>
      </c>
      <c r="G3" s="58" t="s">
        <v>118</v>
      </c>
      <c r="H3" s="58" t="s">
        <v>119</v>
      </c>
      <c r="I3" s="58" t="s">
        <v>120</v>
      </c>
      <c r="J3" s="58" t="s">
        <v>164</v>
      </c>
      <c r="K3" s="58" t="s">
        <v>187</v>
      </c>
      <c r="L3" s="58" t="s">
        <v>236</v>
      </c>
      <c r="M3" s="58" t="s">
        <v>239</v>
      </c>
    </row>
    <row r="4" spans="1:13" x14ac:dyDescent="0.2">
      <c r="A4" s="96" t="s">
        <v>144</v>
      </c>
      <c r="B4" s="96" t="s">
        <v>50</v>
      </c>
      <c r="C4" s="7">
        <v>222.08333333333334</v>
      </c>
      <c r="D4" s="7">
        <v>189.33333333333334</v>
      </c>
      <c r="E4" s="7">
        <v>222.58333333333334</v>
      </c>
      <c r="F4" s="7">
        <v>223.75</v>
      </c>
      <c r="G4" s="7">
        <v>182.16666666666666</v>
      </c>
      <c r="H4" s="7">
        <v>119</v>
      </c>
      <c r="I4" s="7">
        <v>109.25</v>
      </c>
      <c r="J4" s="7">
        <v>100.83333333333333</v>
      </c>
      <c r="K4" s="7">
        <v>104.25</v>
      </c>
      <c r="L4" s="7">
        <v>79.833333333333329</v>
      </c>
      <c r="M4" s="236">
        <f>AvgMonthlyPop_YearlybyDistfromHome[[#This Row],[2025]]/AvgMonthlyPop_YearlybyDistfromHome[[#This Row],[2024]]-1</f>
        <v>-0.23421262989608316</v>
      </c>
    </row>
    <row r="5" spans="1:13" x14ac:dyDescent="0.2">
      <c r="A5" s="96" t="s">
        <v>144</v>
      </c>
      <c r="B5" s="96" t="s">
        <v>51</v>
      </c>
      <c r="C5" s="7">
        <v>298.16666666666669</v>
      </c>
      <c r="D5" s="7">
        <v>249.5</v>
      </c>
      <c r="E5" s="7">
        <v>292.41666666666669</v>
      </c>
      <c r="F5" s="7">
        <v>303.75</v>
      </c>
      <c r="G5" s="7">
        <v>289.91666666666669</v>
      </c>
      <c r="H5" s="7">
        <v>206.83333333333334</v>
      </c>
      <c r="I5" s="7">
        <v>159</v>
      </c>
      <c r="J5" s="7">
        <v>165.5</v>
      </c>
      <c r="K5" s="7">
        <v>154.75</v>
      </c>
      <c r="L5" s="7">
        <v>143.16666666666666</v>
      </c>
      <c r="M5" s="236">
        <f>AvgMonthlyPop_YearlybyDistfromHome[[#This Row],[2025]]/AvgMonthlyPop_YearlybyDistfromHome[[#This Row],[2024]]-1</f>
        <v>-7.4851911685514305E-2</v>
      </c>
    </row>
    <row r="6" spans="1:13" x14ac:dyDescent="0.2">
      <c r="A6" s="96" t="s">
        <v>144</v>
      </c>
      <c r="B6" s="96" t="s">
        <v>52</v>
      </c>
      <c r="C6" s="7">
        <v>130.83333333333334</v>
      </c>
      <c r="D6" s="7">
        <v>121.16666666666667</v>
      </c>
      <c r="E6" s="7">
        <v>125.25</v>
      </c>
      <c r="F6" s="7">
        <v>123.08333333333333</v>
      </c>
      <c r="G6" s="7">
        <v>128.41666666666666</v>
      </c>
      <c r="H6" s="7">
        <v>101.91666666666667</v>
      </c>
      <c r="I6" s="7">
        <v>83.833333333333329</v>
      </c>
      <c r="J6" s="7">
        <v>79</v>
      </c>
      <c r="K6" s="7">
        <v>81.5</v>
      </c>
      <c r="L6" s="7">
        <v>83.666666666666671</v>
      </c>
      <c r="M6" s="236">
        <f>AvgMonthlyPop_YearlybyDistfromHome[[#This Row],[2025]]/AvgMonthlyPop_YearlybyDistfromHome[[#This Row],[2024]]-1</f>
        <v>2.6584867075664764E-2</v>
      </c>
    </row>
    <row r="7" spans="1:13" x14ac:dyDescent="0.2">
      <c r="A7" s="96" t="s">
        <v>144</v>
      </c>
      <c r="B7" s="96" t="s">
        <v>53</v>
      </c>
      <c r="C7" s="7">
        <v>58.333333333333336</v>
      </c>
      <c r="D7" s="7">
        <v>61.166666666666664</v>
      </c>
      <c r="E7" s="7">
        <v>78.666666666666671</v>
      </c>
      <c r="F7" s="7">
        <v>76.583333333333329</v>
      </c>
      <c r="G7" s="7">
        <v>60.083333333333336</v>
      </c>
      <c r="H7" s="7">
        <v>39.916666666666664</v>
      </c>
      <c r="I7" s="7">
        <v>29.5</v>
      </c>
      <c r="J7" s="7">
        <v>30.916666666666668</v>
      </c>
      <c r="K7" s="7">
        <v>36.416666666666664</v>
      </c>
      <c r="L7" s="7">
        <v>43.583333333333336</v>
      </c>
      <c r="M7" s="236">
        <f>AvgMonthlyPop_YearlybyDistfromHome[[#This Row],[2025]]/AvgMonthlyPop_YearlybyDistfromHome[[#This Row],[2024]]-1</f>
        <v>0.19679633867276891</v>
      </c>
    </row>
    <row r="8" spans="1:13" x14ac:dyDescent="0.2">
      <c r="A8" s="96" t="s">
        <v>144</v>
      </c>
      <c r="B8" s="96" t="s">
        <v>54</v>
      </c>
      <c r="C8" s="7">
        <v>80.666666666666671</v>
      </c>
      <c r="D8" s="7">
        <v>80.833333333333329</v>
      </c>
      <c r="E8" s="7">
        <v>97.166666666666671</v>
      </c>
      <c r="F8" s="7">
        <v>90</v>
      </c>
      <c r="G8" s="7">
        <v>85.916666666666671</v>
      </c>
      <c r="H8" s="7">
        <v>82.916666666666671</v>
      </c>
      <c r="I8" s="7">
        <v>65.083333333333329</v>
      </c>
      <c r="J8" s="7">
        <v>54.166666666666664</v>
      </c>
      <c r="K8" s="7">
        <v>42.833333333333336</v>
      </c>
      <c r="L8" s="7">
        <v>61</v>
      </c>
      <c r="M8" s="236">
        <f>AvgMonthlyPop_YearlybyDistfromHome[[#This Row],[2025]]/AvgMonthlyPop_YearlybyDistfromHome[[#This Row],[2024]]-1</f>
        <v>0.42412451361867687</v>
      </c>
    </row>
    <row r="9" spans="1:13" x14ac:dyDescent="0.2">
      <c r="A9" s="96" t="s">
        <v>144</v>
      </c>
      <c r="B9" s="96" t="s">
        <v>262</v>
      </c>
      <c r="C9" s="7">
        <v>170.16666666666666</v>
      </c>
      <c r="D9" s="7">
        <v>165.91666666666666</v>
      </c>
      <c r="E9" s="7">
        <v>77.916666666666671</v>
      </c>
      <c r="F9" s="7">
        <v>41.75</v>
      </c>
      <c r="G9" s="7">
        <v>34.583333333333336</v>
      </c>
      <c r="H9" s="7">
        <v>9.8333333333333339</v>
      </c>
      <c r="I9" s="7">
        <v>7.583333333333333</v>
      </c>
      <c r="J9" s="7">
        <v>10.916666666666666</v>
      </c>
      <c r="K9" s="7">
        <v>10</v>
      </c>
      <c r="L9" s="7">
        <v>6.416666666666667</v>
      </c>
      <c r="M9" s="236">
        <f>AvgMonthlyPop_YearlybyDistfromHome[[#This Row],[2025]]/AvgMonthlyPop_YearlybyDistfromHome[[#This Row],[2024]]-1</f>
        <v>-0.35833333333333328</v>
      </c>
    </row>
    <row r="10" spans="1:13" x14ac:dyDescent="0.2">
      <c r="A10" s="97" t="s">
        <v>144</v>
      </c>
      <c r="B10" s="97" t="s">
        <v>36</v>
      </c>
      <c r="C10" s="191">
        <v>960.25</v>
      </c>
      <c r="D10" s="191">
        <v>867.91666666666663</v>
      </c>
      <c r="E10" s="191">
        <v>893.99999999999989</v>
      </c>
      <c r="F10" s="191">
        <v>858.91666666666674</v>
      </c>
      <c r="G10" s="191">
        <v>781.08333333333337</v>
      </c>
      <c r="H10" s="191">
        <v>560.41666666666674</v>
      </c>
      <c r="I10" s="191">
        <v>454.24999999999994</v>
      </c>
      <c r="J10" s="191">
        <v>441.33333333333337</v>
      </c>
      <c r="K10" s="191">
        <v>429.91666666666669</v>
      </c>
      <c r="L10" s="191">
        <v>417.66666666666669</v>
      </c>
      <c r="M10" s="237">
        <f>AvgMonthlyPop_YearlybyDistfromHome[[#This Row],[2025]]/AvgMonthlyPop_YearlybyDistfromHome[[#This Row],[2024]]-1</f>
        <v>-2.8493894165535938E-2</v>
      </c>
    </row>
    <row r="11" spans="1:13" x14ac:dyDescent="0.2">
      <c r="A11" s="180" t="s">
        <v>261</v>
      </c>
      <c r="B11" s="180" t="s">
        <v>50</v>
      </c>
      <c r="C11" s="19">
        <f>C4/C$10</f>
        <v>0.23127657728022216</v>
      </c>
      <c r="D11" s="19">
        <f t="shared" ref="D11:L11" si="0">D4/D$10</f>
        <v>0.21814690350456076</v>
      </c>
      <c r="E11" s="19">
        <f t="shared" si="0"/>
        <v>0.24897464578672637</v>
      </c>
      <c r="F11" s="19">
        <f t="shared" si="0"/>
        <v>0.26050257106820607</v>
      </c>
      <c r="G11" s="19">
        <f t="shared" si="0"/>
        <v>0.2332230875920196</v>
      </c>
      <c r="H11" s="19">
        <f t="shared" si="0"/>
        <v>0.21234200743494422</v>
      </c>
      <c r="I11" s="19">
        <f t="shared" si="0"/>
        <v>0.24050632911392408</v>
      </c>
      <c r="J11" s="19">
        <f t="shared" si="0"/>
        <v>0.22847432024169181</v>
      </c>
      <c r="K11" s="19">
        <f t="shared" si="0"/>
        <v>0.24248885442915294</v>
      </c>
      <c r="L11" s="19">
        <f t="shared" si="0"/>
        <v>0.19114126097366319</v>
      </c>
      <c r="M11" s="238">
        <f>100*(AvgMonthlyPop_YearlybyDistfromHome[[#This Row],[2025]]-AvgMonthlyPop_YearlybyDistfromHome[[#This Row],[2024]])</f>
        <v>-5.1347593455489751</v>
      </c>
    </row>
    <row r="12" spans="1:13" x14ac:dyDescent="0.2">
      <c r="A12" s="96" t="s">
        <v>261</v>
      </c>
      <c r="B12" s="96" t="s">
        <v>51</v>
      </c>
      <c r="C12" s="18">
        <f t="shared" ref="C12:L12" si="1">C5/C$10</f>
        <v>0.3105094159507073</v>
      </c>
      <c r="D12" s="18">
        <f t="shared" si="1"/>
        <v>0.28746999519923189</v>
      </c>
      <c r="E12" s="18">
        <f t="shared" si="1"/>
        <v>0.32708799403430283</v>
      </c>
      <c r="F12" s="18">
        <f t="shared" si="1"/>
        <v>0.35364315513728534</v>
      </c>
      <c r="G12" s="18">
        <f t="shared" si="1"/>
        <v>0.37117251680358476</v>
      </c>
      <c r="H12" s="18">
        <f t="shared" si="1"/>
        <v>0.36907063197026019</v>
      </c>
      <c r="I12" s="18">
        <f t="shared" si="1"/>
        <v>0.35002751788662634</v>
      </c>
      <c r="J12" s="18">
        <f t="shared" si="1"/>
        <v>0.37499999999999994</v>
      </c>
      <c r="K12" s="18">
        <f t="shared" si="1"/>
        <v>0.35995347935646443</v>
      </c>
      <c r="L12" s="18">
        <f t="shared" si="1"/>
        <v>0.34277733439744607</v>
      </c>
      <c r="M12" s="239">
        <f>100*(AvgMonthlyPop_YearlybyDistfromHome[[#This Row],[2025]]-AvgMonthlyPop_YearlybyDistfromHome[[#This Row],[2024]])</f>
        <v>-1.7176144959018369</v>
      </c>
    </row>
    <row r="13" spans="1:13" x14ac:dyDescent="0.2">
      <c r="A13" s="96" t="s">
        <v>261</v>
      </c>
      <c r="B13" s="96" t="s">
        <v>52</v>
      </c>
      <c r="C13" s="18">
        <f t="shared" ref="C13:L13" si="2">C6/C$10</f>
        <v>0.13624924064913652</v>
      </c>
      <c r="D13" s="18">
        <f t="shared" si="2"/>
        <v>0.13960633701392225</v>
      </c>
      <c r="E13" s="18">
        <f t="shared" si="2"/>
        <v>0.1401006711409396</v>
      </c>
      <c r="F13" s="18">
        <f t="shared" si="2"/>
        <v>0.14330066944794798</v>
      </c>
      <c r="G13" s="18">
        <f t="shared" si="2"/>
        <v>0.1644084071268537</v>
      </c>
      <c r="H13" s="18">
        <f t="shared" si="2"/>
        <v>0.18185873605947953</v>
      </c>
      <c r="I13" s="18">
        <f t="shared" si="2"/>
        <v>0.1845532929737663</v>
      </c>
      <c r="J13" s="18">
        <f t="shared" si="2"/>
        <v>0.17900302114803623</v>
      </c>
      <c r="K13" s="18">
        <f t="shared" si="2"/>
        <v>0.1895716224074433</v>
      </c>
      <c r="L13" s="18">
        <f t="shared" si="2"/>
        <v>0.20031923383878691</v>
      </c>
      <c r="M13" s="239">
        <f>100*(AvgMonthlyPop_YearlybyDistfromHome[[#This Row],[2025]]-AvgMonthlyPop_YearlybyDistfromHome[[#This Row],[2024]])</f>
        <v>1.0747611431343618</v>
      </c>
    </row>
    <row r="14" spans="1:13" x14ac:dyDescent="0.2">
      <c r="A14" s="96" t="s">
        <v>261</v>
      </c>
      <c r="B14" s="96" t="s">
        <v>53</v>
      </c>
      <c r="C14" s="18">
        <f t="shared" ref="C14:L14" si="3">C7/C$10</f>
        <v>6.0748069079232844E-2</v>
      </c>
      <c r="D14" s="18">
        <f t="shared" si="3"/>
        <v>7.0475276044167062E-2</v>
      </c>
      <c r="E14" s="18">
        <f t="shared" si="3"/>
        <v>8.799403430275915E-2</v>
      </c>
      <c r="F14" s="18">
        <f t="shared" si="3"/>
        <v>8.9162704957795658E-2</v>
      </c>
      <c r="G14" s="18">
        <f t="shared" si="3"/>
        <v>7.6923076923076927E-2</v>
      </c>
      <c r="H14" s="18">
        <f t="shared" si="3"/>
        <v>7.1226765799256492E-2</v>
      </c>
      <c r="I14" s="18">
        <f t="shared" si="3"/>
        <v>6.4942212438084762E-2</v>
      </c>
      <c r="J14" s="18">
        <f t="shared" si="3"/>
        <v>7.0052870090634434E-2</v>
      </c>
      <c r="K14" s="18">
        <f t="shared" si="3"/>
        <v>8.4706338437681716E-2</v>
      </c>
      <c r="L14" s="18">
        <f t="shared" si="3"/>
        <v>0.10434956105347166</v>
      </c>
      <c r="M14" s="239">
        <f>100*(AvgMonthlyPop_YearlybyDistfromHome[[#This Row],[2025]]-AvgMonthlyPop_YearlybyDistfromHome[[#This Row],[2024]])</f>
        <v>1.9643222615789948</v>
      </c>
    </row>
    <row r="15" spans="1:13" x14ac:dyDescent="0.2">
      <c r="A15" s="96" t="s">
        <v>261</v>
      </c>
      <c r="B15" s="96" t="s">
        <v>54</v>
      </c>
      <c r="C15" s="18">
        <f t="shared" ref="C15:L15" si="4">C8/C$10</f>
        <v>8.4005901240996272E-2</v>
      </c>
      <c r="D15" s="18">
        <f t="shared" si="4"/>
        <v>9.3134901584253485E-2</v>
      </c>
      <c r="E15" s="18">
        <f t="shared" si="4"/>
        <v>0.10868754660700972</v>
      </c>
      <c r="F15" s="18">
        <f t="shared" si="4"/>
        <v>0.10478315707771417</v>
      </c>
      <c r="G15" s="18">
        <f t="shared" si="4"/>
        <v>0.10999679931718767</v>
      </c>
      <c r="H15" s="18">
        <f t="shared" si="4"/>
        <v>0.14795539033457247</v>
      </c>
      <c r="I15" s="18">
        <f t="shared" si="4"/>
        <v>0.14327646303430563</v>
      </c>
      <c r="J15" s="18">
        <f t="shared" si="4"/>
        <v>0.12273413897280964</v>
      </c>
      <c r="K15" s="18">
        <f t="shared" si="4"/>
        <v>9.9631711572010076E-2</v>
      </c>
      <c r="L15" s="18">
        <f t="shared" si="4"/>
        <v>0.14604948124501196</v>
      </c>
      <c r="M15" s="239">
        <f>100*(AvgMonthlyPop_YearlybyDistfromHome[[#This Row],[2025]]-AvgMonthlyPop_YearlybyDistfromHome[[#This Row],[2024]])</f>
        <v>4.6417769673001885</v>
      </c>
    </row>
    <row r="16" spans="1:13" x14ac:dyDescent="0.2">
      <c r="A16" s="98" t="s">
        <v>261</v>
      </c>
      <c r="B16" s="98" t="s">
        <v>262</v>
      </c>
      <c r="C16" s="53">
        <f t="shared" ref="C16:L16" si="5">C9/C$10</f>
        <v>0.17721079579970492</v>
      </c>
      <c r="D16" s="53">
        <f t="shared" si="5"/>
        <v>0.19116658665386463</v>
      </c>
      <c r="E16" s="53">
        <f t="shared" si="5"/>
        <v>8.7155108128262507E-2</v>
      </c>
      <c r="F16" s="53">
        <f t="shared" si="5"/>
        <v>4.8607742311050736E-2</v>
      </c>
      <c r="G16" s="53">
        <f t="shared" si="5"/>
        <v>4.4276112237277288E-2</v>
      </c>
      <c r="H16" s="53">
        <f t="shared" si="5"/>
        <v>1.7546468401486989E-2</v>
      </c>
      <c r="I16" s="53">
        <f t="shared" si="5"/>
        <v>1.6694184553292975E-2</v>
      </c>
      <c r="J16" s="53">
        <f t="shared" si="5"/>
        <v>2.473564954682779E-2</v>
      </c>
      <c r="K16" s="53">
        <f t="shared" si="5"/>
        <v>2.3260321767784455E-2</v>
      </c>
      <c r="L16" s="53">
        <f t="shared" si="5"/>
        <v>1.5363128491620111E-2</v>
      </c>
      <c r="M16" s="239">
        <f>100*(AvgMonthlyPop_YearlybyDistfromHome[[#This Row],[2025]]-AvgMonthlyPop_YearlybyDistfromHome[[#This Row],[2024]])</f>
        <v>-0.78971932761643437</v>
      </c>
    </row>
  </sheetData>
  <phoneticPr fontId="19" type="noConversion"/>
  <pageMargins left="0.7" right="0.7" top="0.75" bottom="0.75" header="0.3" footer="0.3"/>
  <pageSetup paperSize="9" orientation="portrait"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BBB163-85EA-49F3-882E-84F5F6B850DE}">
  <sheetPr codeName="Sheet9"/>
  <dimension ref="A1:P19"/>
  <sheetViews>
    <sheetView zoomScaleNormal="100" workbookViewId="0"/>
  </sheetViews>
  <sheetFormatPr defaultColWidth="8.6640625" defaultRowHeight="15" x14ac:dyDescent="0.2"/>
  <cols>
    <col min="1" max="1" width="18.33203125" customWidth="1"/>
    <col min="2" max="2" width="17" customWidth="1"/>
    <col min="3" max="3" width="22.5546875" customWidth="1"/>
    <col min="15" max="16" width="11.6640625" customWidth="1"/>
  </cols>
  <sheetData>
    <row r="1" spans="1:16" ht="15.75" x14ac:dyDescent="0.2">
      <c r="A1" s="77" t="s">
        <v>241</v>
      </c>
      <c r="B1" s="22"/>
      <c r="C1" s="77"/>
      <c r="D1" s="23"/>
      <c r="E1" s="23"/>
      <c r="F1" s="23"/>
      <c r="G1" s="23"/>
      <c r="H1" s="23"/>
      <c r="I1" s="23"/>
      <c r="J1" s="23"/>
      <c r="K1" s="23"/>
      <c r="L1" s="23"/>
      <c r="M1" s="23"/>
      <c r="N1" s="23"/>
      <c r="O1" s="23"/>
      <c r="P1" s="23"/>
    </row>
    <row r="2" spans="1:16" x14ac:dyDescent="0.2">
      <c r="A2" s="78" t="s">
        <v>143</v>
      </c>
      <c r="B2" s="22"/>
      <c r="C2" s="78"/>
      <c r="D2" s="23"/>
      <c r="E2" s="23"/>
      <c r="F2" s="23"/>
      <c r="G2" s="23"/>
      <c r="H2" s="23"/>
      <c r="I2" s="23"/>
      <c r="J2" s="23"/>
      <c r="K2" s="23"/>
      <c r="L2" s="23"/>
      <c r="M2" s="23"/>
      <c r="N2" s="23"/>
      <c r="O2" s="23"/>
      <c r="P2" s="23"/>
    </row>
    <row r="3" spans="1:16" ht="38.25" x14ac:dyDescent="0.2">
      <c r="A3" s="192" t="s">
        <v>160</v>
      </c>
      <c r="B3" s="192" t="s">
        <v>161</v>
      </c>
      <c r="C3" s="192" t="s">
        <v>162</v>
      </c>
      <c r="D3" s="193" t="s">
        <v>113</v>
      </c>
      <c r="E3" s="193" t="s">
        <v>114</v>
      </c>
      <c r="F3" s="193" t="s">
        <v>115</v>
      </c>
      <c r="G3" s="193" t="s">
        <v>116</v>
      </c>
      <c r="H3" s="193" t="s">
        <v>117</v>
      </c>
      <c r="I3" s="193" t="s">
        <v>118</v>
      </c>
      <c r="J3" s="193" t="s">
        <v>119</v>
      </c>
      <c r="K3" s="193" t="s">
        <v>120</v>
      </c>
      <c r="L3" s="193" t="s">
        <v>164</v>
      </c>
      <c r="M3" s="193" t="s">
        <v>187</v>
      </c>
      <c r="N3" s="193" t="s">
        <v>236</v>
      </c>
      <c r="O3" s="58" t="s">
        <v>238</v>
      </c>
      <c r="P3" s="58" t="s">
        <v>239</v>
      </c>
    </row>
    <row r="4" spans="1:16" x14ac:dyDescent="0.2">
      <c r="A4" s="205" t="s">
        <v>144</v>
      </c>
      <c r="B4" s="205" t="s">
        <v>55</v>
      </c>
      <c r="C4" s="206" t="s">
        <v>184</v>
      </c>
      <c r="D4" s="79">
        <v>44.5</v>
      </c>
      <c r="E4" s="79">
        <v>39.5</v>
      </c>
      <c r="F4" s="79">
        <v>37.083333333333336</v>
      </c>
      <c r="G4" s="79">
        <v>43</v>
      </c>
      <c r="H4" s="79">
        <v>40.75</v>
      </c>
      <c r="I4" s="79">
        <v>28.75</v>
      </c>
      <c r="J4" s="79">
        <v>14.333333333333334</v>
      </c>
      <c r="K4" s="79">
        <v>15.916666666666666</v>
      </c>
      <c r="L4" s="79">
        <v>12.5</v>
      </c>
      <c r="M4" s="79">
        <v>16.083333333333332</v>
      </c>
      <c r="N4" s="79">
        <v>16.416666666666668</v>
      </c>
      <c r="O4" s="80">
        <f>AvgMonthlyPop_YearlybyAge_Sex[[#This Row],[2025]]/AvgMonthlyPop_YearlybyAge_Sex[[#This Row],[2015]]-1</f>
        <v>-0.63108614232209737</v>
      </c>
      <c r="P4" s="80">
        <f>AvgMonthlyPop_YearlybyAge_Sex[[#This Row],[2025]]/AvgMonthlyPop_YearlybyAge_Sex[[#This Row],[2024]]-1</f>
        <v>2.0725388601036343E-2</v>
      </c>
    </row>
    <row r="5" spans="1:16" x14ac:dyDescent="0.2">
      <c r="A5" s="205" t="s">
        <v>144</v>
      </c>
      <c r="B5" s="205" t="s">
        <v>55</v>
      </c>
      <c r="C5" s="207" t="s">
        <v>56</v>
      </c>
      <c r="D5" s="79">
        <v>124.83333333333333</v>
      </c>
      <c r="E5" s="79">
        <v>121.58333333333333</v>
      </c>
      <c r="F5" s="79">
        <v>101.66666666666667</v>
      </c>
      <c r="G5" s="79">
        <v>108.5</v>
      </c>
      <c r="H5" s="79">
        <v>115</v>
      </c>
      <c r="I5" s="79">
        <v>93.916666666666671</v>
      </c>
      <c r="J5" s="79">
        <v>61.083333333333336</v>
      </c>
      <c r="K5" s="79">
        <v>52.666666666666664</v>
      </c>
      <c r="L5" s="79">
        <v>50.833333333333336</v>
      </c>
      <c r="M5" s="79">
        <v>49.583333333333336</v>
      </c>
      <c r="N5" s="79">
        <v>43.583333333333336</v>
      </c>
      <c r="O5" s="81">
        <f>AvgMonthlyPop_YearlybyAge_Sex[[#This Row],[2025]]/AvgMonthlyPop_YearlybyAge_Sex[[#This Row],[2015]]-1</f>
        <v>-0.65086782376502006</v>
      </c>
      <c r="P5" s="81">
        <f>AvgMonthlyPop_YearlybyAge_Sex[[#This Row],[2025]]/AvgMonthlyPop_YearlybyAge_Sex[[#This Row],[2024]]-1</f>
        <v>-0.12100840336134455</v>
      </c>
    </row>
    <row r="6" spans="1:16" x14ac:dyDescent="0.2">
      <c r="A6" s="205" t="s">
        <v>144</v>
      </c>
      <c r="B6" s="205" t="s">
        <v>55</v>
      </c>
      <c r="C6" s="207" t="s">
        <v>57</v>
      </c>
      <c r="D6" s="79">
        <v>299.58333333333331</v>
      </c>
      <c r="E6" s="79">
        <v>283.58333333333331</v>
      </c>
      <c r="F6" s="79">
        <v>262.16666666666669</v>
      </c>
      <c r="G6" s="79">
        <v>267.83333333333331</v>
      </c>
      <c r="H6" s="79">
        <v>239.16666666666666</v>
      </c>
      <c r="I6" s="79">
        <v>246.83333333333334</v>
      </c>
      <c r="J6" s="79">
        <v>140.91666666666666</v>
      </c>
      <c r="K6" s="79">
        <v>129.25</v>
      </c>
      <c r="L6" s="79">
        <v>126.16666666666667</v>
      </c>
      <c r="M6" s="79">
        <v>125.91666666666667</v>
      </c>
      <c r="N6" s="79">
        <v>120.75</v>
      </c>
      <c r="O6" s="81">
        <f>AvgMonthlyPop_YearlybyAge_Sex[[#This Row],[2025]]/AvgMonthlyPop_YearlybyAge_Sex[[#This Row],[2015]]-1</f>
        <v>-0.5969401947148818</v>
      </c>
      <c r="P6" s="81">
        <f>AvgMonthlyPop_YearlybyAge_Sex[[#This Row],[2025]]/AvgMonthlyPop_YearlybyAge_Sex[[#This Row],[2024]]-1</f>
        <v>-4.1032428855062864E-2</v>
      </c>
    </row>
    <row r="7" spans="1:16" x14ac:dyDescent="0.2">
      <c r="A7" s="205" t="s">
        <v>144</v>
      </c>
      <c r="B7" s="205" t="s">
        <v>55</v>
      </c>
      <c r="C7" s="207" t="s">
        <v>58</v>
      </c>
      <c r="D7" s="79">
        <v>568.41666666666663</v>
      </c>
      <c r="E7" s="79">
        <v>515.58333333333337</v>
      </c>
      <c r="F7" s="79">
        <v>467</v>
      </c>
      <c r="G7" s="79">
        <v>474.66666666666669</v>
      </c>
      <c r="H7" s="79">
        <v>464</v>
      </c>
      <c r="I7" s="79">
        <v>411.58333333333331</v>
      </c>
      <c r="J7" s="79">
        <v>344.08333333333331</v>
      </c>
      <c r="K7" s="79">
        <v>256.41666666666669</v>
      </c>
      <c r="L7" s="79">
        <v>251.83333333333334</v>
      </c>
      <c r="M7" s="79">
        <v>238.16666666666666</v>
      </c>
      <c r="N7" s="79">
        <v>236.91666666666666</v>
      </c>
      <c r="O7" s="81">
        <f>AvgMonthlyPop_YearlybyAge_Sex[[#This Row],[2025]]/AvgMonthlyPop_YearlybyAge_Sex[[#This Row],[2015]]-1</f>
        <v>-0.58319894443629972</v>
      </c>
      <c r="P7" s="81">
        <f>AvgMonthlyPop_YearlybyAge_Sex[[#This Row],[2025]]/AvgMonthlyPop_YearlybyAge_Sex[[#This Row],[2024]]-1</f>
        <v>-5.2484254723582646E-3</v>
      </c>
    </row>
    <row r="8" spans="1:16" x14ac:dyDescent="0.2">
      <c r="A8" s="82" t="s">
        <v>144</v>
      </c>
      <c r="B8" s="82" t="s">
        <v>149</v>
      </c>
      <c r="C8" s="82" t="s">
        <v>36</v>
      </c>
      <c r="D8" s="83">
        <f t="shared" ref="D8:M8" si="0">SUM(D4:D7)</f>
        <v>1037.3333333333333</v>
      </c>
      <c r="E8" s="83">
        <f t="shared" si="0"/>
        <v>960.25</v>
      </c>
      <c r="F8" s="83">
        <f t="shared" si="0"/>
        <v>867.91666666666674</v>
      </c>
      <c r="G8" s="83">
        <f t="shared" si="0"/>
        <v>894</v>
      </c>
      <c r="H8" s="83">
        <f t="shared" si="0"/>
        <v>858.91666666666663</v>
      </c>
      <c r="I8" s="83">
        <f t="shared" si="0"/>
        <v>781.08333333333326</v>
      </c>
      <c r="J8" s="83">
        <f t="shared" si="0"/>
        <v>560.41666666666663</v>
      </c>
      <c r="K8" s="83">
        <f t="shared" si="0"/>
        <v>454.25</v>
      </c>
      <c r="L8" s="83">
        <f t="shared" si="0"/>
        <v>441.33333333333337</v>
      </c>
      <c r="M8" s="83">
        <f t="shared" si="0"/>
        <v>429.75</v>
      </c>
      <c r="N8" s="83">
        <f t="shared" ref="N8" si="1">SUM(N4:N7)</f>
        <v>417.66666666666663</v>
      </c>
      <c r="O8" s="84">
        <f>AvgMonthlyPop_YearlybyAge_Sex[[#This Row],[2025]]/AvgMonthlyPop_YearlybyAge_Sex[[#This Row],[2015]]-1</f>
        <v>-0.59736503856041134</v>
      </c>
      <c r="P8" s="84">
        <f>AvgMonthlyPop_YearlybyAge_Sex[[#This Row],[2025]]/AvgMonthlyPop_YearlybyAge_Sex[[#This Row],[2024]]-1</f>
        <v>-2.8117122357960156E-2</v>
      </c>
    </row>
    <row r="9" spans="1:16" x14ac:dyDescent="0.2">
      <c r="A9" s="205" t="s">
        <v>144</v>
      </c>
      <c r="B9" s="205" t="s">
        <v>59</v>
      </c>
      <c r="C9" s="205" t="s">
        <v>60</v>
      </c>
      <c r="D9" s="79">
        <v>42.25</v>
      </c>
      <c r="E9" s="79">
        <v>36.166666666666664</v>
      </c>
      <c r="F9" s="79">
        <v>25.416666666666668</v>
      </c>
      <c r="G9" s="79">
        <v>32.333333333333336</v>
      </c>
      <c r="H9" s="79">
        <v>26.833333333333332</v>
      </c>
      <c r="I9" s="79">
        <v>27.833333333333332</v>
      </c>
      <c r="J9" s="79">
        <v>18.333333333333332</v>
      </c>
      <c r="K9" s="79">
        <v>14.833333333333334</v>
      </c>
      <c r="L9" s="79">
        <v>11.583333333333334</v>
      </c>
      <c r="M9" s="79">
        <v>8.3333333333333339</v>
      </c>
      <c r="N9" s="79">
        <v>10.416666666666666</v>
      </c>
      <c r="O9" s="80">
        <f>AvgMonthlyPop_YearlybyAge_Sex[[#This Row],[2025]]/AvgMonthlyPop_YearlybyAge_Sex[[#This Row],[2015]]-1</f>
        <v>-0.75345167652859968</v>
      </c>
      <c r="P9" s="80">
        <f>AvgMonthlyPop_YearlybyAge_Sex[[#This Row],[2025]]/AvgMonthlyPop_YearlybyAge_Sex[[#This Row],[2024]]-1</f>
        <v>0.24999999999999978</v>
      </c>
    </row>
    <row r="10" spans="1:16" x14ac:dyDescent="0.2">
      <c r="A10" s="207" t="s">
        <v>144</v>
      </c>
      <c r="B10" s="207" t="s">
        <v>59</v>
      </c>
      <c r="C10" s="207" t="s">
        <v>61</v>
      </c>
      <c r="D10" s="79">
        <v>995.08333333333337</v>
      </c>
      <c r="E10" s="79">
        <v>924.08333333333337</v>
      </c>
      <c r="F10" s="79">
        <v>842.5</v>
      </c>
      <c r="G10" s="79">
        <v>861.66666666666663</v>
      </c>
      <c r="H10" s="79">
        <v>832.08333333333337</v>
      </c>
      <c r="I10" s="79">
        <v>753.25</v>
      </c>
      <c r="J10" s="79">
        <v>542.08333333333337</v>
      </c>
      <c r="K10" s="79">
        <v>439.41666666666669</v>
      </c>
      <c r="L10" s="79">
        <v>429.75</v>
      </c>
      <c r="M10" s="79">
        <v>421.41666666666669</v>
      </c>
      <c r="N10" s="79">
        <v>407.25</v>
      </c>
      <c r="O10" s="81">
        <f>AvgMonthlyPop_YearlybyAge_Sex[[#This Row],[2025]]/AvgMonthlyPop_YearlybyAge_Sex[[#This Row],[2015]]-1</f>
        <v>-0.59073779415459349</v>
      </c>
      <c r="P10" s="81">
        <f>AvgMonthlyPop_YearlybyAge_Sex[[#This Row],[2025]]/AvgMonthlyPop_YearlybyAge_Sex[[#This Row],[2024]]-1</f>
        <v>-3.3616768835277866E-2</v>
      </c>
    </row>
    <row r="11" spans="1:16" x14ac:dyDescent="0.2">
      <c r="A11" s="82" t="s">
        <v>144</v>
      </c>
      <c r="B11" s="82" t="s">
        <v>150</v>
      </c>
      <c r="C11" s="82" t="s">
        <v>36</v>
      </c>
      <c r="D11" s="83">
        <f t="shared" ref="D11:M11" si="2">SUM(D9:D10)</f>
        <v>1037.3333333333335</v>
      </c>
      <c r="E11" s="83">
        <f t="shared" si="2"/>
        <v>960.25</v>
      </c>
      <c r="F11" s="83">
        <f t="shared" si="2"/>
        <v>867.91666666666663</v>
      </c>
      <c r="G11" s="83">
        <f t="shared" si="2"/>
        <v>894</v>
      </c>
      <c r="H11" s="83">
        <f t="shared" si="2"/>
        <v>858.91666666666674</v>
      </c>
      <c r="I11" s="83">
        <f t="shared" si="2"/>
        <v>781.08333333333337</v>
      </c>
      <c r="J11" s="83">
        <f t="shared" si="2"/>
        <v>560.41666666666674</v>
      </c>
      <c r="K11" s="83">
        <f t="shared" si="2"/>
        <v>454.25</v>
      </c>
      <c r="L11" s="83">
        <f t="shared" si="2"/>
        <v>441.33333333333331</v>
      </c>
      <c r="M11" s="83">
        <f t="shared" si="2"/>
        <v>429.75</v>
      </c>
      <c r="N11" s="83">
        <f t="shared" ref="N11" si="3">SUM(N9:N10)</f>
        <v>417.66666666666669</v>
      </c>
      <c r="O11" s="84">
        <f>AvgMonthlyPop_YearlybyAge_Sex[[#This Row],[2025]]/AvgMonthlyPop_YearlybyAge_Sex[[#This Row],[2015]]-1</f>
        <v>-0.59736503856041134</v>
      </c>
      <c r="P11" s="84">
        <f>AvgMonthlyPop_YearlybyAge_Sex[[#This Row],[2025]]/AvgMonthlyPop_YearlybyAge_Sex[[#This Row],[2024]]-1</f>
        <v>-2.8117122357960045E-2</v>
      </c>
    </row>
    <row r="12" spans="1:16" x14ac:dyDescent="0.2">
      <c r="A12" s="205" t="s">
        <v>151</v>
      </c>
      <c r="B12" s="205" t="s">
        <v>55</v>
      </c>
      <c r="C12" s="205" t="s">
        <v>184</v>
      </c>
      <c r="D12" s="85">
        <f t="shared" ref="D12:M12" si="4">D4/D$11</f>
        <v>4.2898457583547552E-2</v>
      </c>
      <c r="E12" s="85">
        <f t="shared" si="4"/>
        <v>4.1135121062223376E-2</v>
      </c>
      <c r="F12" s="85">
        <f t="shared" si="4"/>
        <v>4.2726836293807011E-2</v>
      </c>
      <c r="G12" s="85">
        <f t="shared" si="4"/>
        <v>4.8098434004474271E-2</v>
      </c>
      <c r="H12" s="85">
        <f t="shared" si="4"/>
        <v>4.7443485010187247E-2</v>
      </c>
      <c r="I12" s="85">
        <f t="shared" si="4"/>
        <v>3.6807852341832925E-2</v>
      </c>
      <c r="J12" s="85">
        <f t="shared" si="4"/>
        <v>2.5576208178438659E-2</v>
      </c>
      <c r="K12" s="85">
        <f t="shared" si="4"/>
        <v>3.5039442304164371E-2</v>
      </c>
      <c r="L12" s="85">
        <f t="shared" si="4"/>
        <v>2.8323262839879154E-2</v>
      </c>
      <c r="M12" s="85">
        <f t="shared" si="4"/>
        <v>3.7424859414388209E-2</v>
      </c>
      <c r="N12" s="85">
        <f t="shared" ref="N12" si="5">N4/N$11</f>
        <v>3.930566640063847E-2</v>
      </c>
      <c r="O12" s="86">
        <f>100*(AvgMonthlyPop_YearlybyAge_Sex[[#This Row],[2025]]-AvgMonthlyPop_YearlybyAge_Sex[[#This Row],[2015]])</f>
        <v>-0.35927911829090819</v>
      </c>
      <c r="P12" s="86">
        <f>100*(AvgMonthlyPop_YearlybyAge_Sex[[#This Row],[2025]]-AvgMonthlyPop_YearlybyAge_Sex[[#This Row],[2024]])</f>
        <v>0.18808069862502608</v>
      </c>
    </row>
    <row r="13" spans="1:16" x14ac:dyDescent="0.2">
      <c r="A13" s="205" t="s">
        <v>151</v>
      </c>
      <c r="B13" s="205" t="s">
        <v>55</v>
      </c>
      <c r="C13" s="207" t="s">
        <v>56</v>
      </c>
      <c r="D13" s="85">
        <f t="shared" ref="D13:M13" si="6">D5/D$11</f>
        <v>0.12034061696658095</v>
      </c>
      <c r="E13" s="85">
        <f t="shared" si="6"/>
        <v>0.12661633255228671</v>
      </c>
      <c r="F13" s="85">
        <f t="shared" si="6"/>
        <v>0.11713874219875181</v>
      </c>
      <c r="G13" s="85">
        <f t="shared" si="6"/>
        <v>0.12136465324384788</v>
      </c>
      <c r="H13" s="85">
        <f t="shared" si="6"/>
        <v>0.13388958959930145</v>
      </c>
      <c r="I13" s="85">
        <f t="shared" si="6"/>
        <v>0.12023898431665422</v>
      </c>
      <c r="J13" s="85">
        <f t="shared" si="6"/>
        <v>0.10899628252788103</v>
      </c>
      <c r="K13" s="85">
        <f t="shared" si="6"/>
        <v>0.11594202898550725</v>
      </c>
      <c r="L13" s="85">
        <f t="shared" si="6"/>
        <v>0.11518126888217524</v>
      </c>
      <c r="M13" s="85">
        <f t="shared" si="6"/>
        <v>0.11537715726197402</v>
      </c>
      <c r="N13" s="85">
        <f t="shared" ref="N13:N19" si="7">N5/N$11</f>
        <v>0.10434956105347166</v>
      </c>
      <c r="O13" s="87">
        <f>100*(AvgMonthlyPop_YearlybyAge_Sex[[#This Row],[2025]]-AvgMonthlyPop_YearlybyAge_Sex[[#This Row],[2015]])</f>
        <v>-1.5991055913109287</v>
      </c>
      <c r="P13" s="87">
        <f>100*(AvgMonthlyPop_YearlybyAge_Sex[[#This Row],[2025]]-AvgMonthlyPop_YearlybyAge_Sex[[#This Row],[2024]])</f>
        <v>-1.1027596208502355</v>
      </c>
    </row>
    <row r="14" spans="1:16" x14ac:dyDescent="0.2">
      <c r="A14" s="205" t="s">
        <v>151</v>
      </c>
      <c r="B14" s="205" t="s">
        <v>55</v>
      </c>
      <c r="C14" s="207" t="s">
        <v>57</v>
      </c>
      <c r="D14" s="85">
        <f t="shared" ref="D14:M14" si="8">D6/D$11</f>
        <v>0.28880141388174801</v>
      </c>
      <c r="E14" s="85">
        <f t="shared" si="8"/>
        <v>0.29532239868089905</v>
      </c>
      <c r="F14" s="85">
        <f t="shared" si="8"/>
        <v>0.30206433029284691</v>
      </c>
      <c r="G14" s="85">
        <f t="shared" si="8"/>
        <v>0.29958985831469048</v>
      </c>
      <c r="H14" s="85">
        <f t="shared" si="8"/>
        <v>0.27845153778985154</v>
      </c>
      <c r="I14" s="85">
        <f t="shared" si="8"/>
        <v>0.31601408300437428</v>
      </c>
      <c r="J14" s="85">
        <f t="shared" si="8"/>
        <v>0.251449814126394</v>
      </c>
      <c r="K14" s="85">
        <f t="shared" si="8"/>
        <v>0.2845349477160154</v>
      </c>
      <c r="L14" s="85">
        <f t="shared" si="8"/>
        <v>0.28587613293051362</v>
      </c>
      <c r="M14" s="85">
        <f t="shared" si="8"/>
        <v>0.29299980608881132</v>
      </c>
      <c r="N14" s="85">
        <f t="shared" si="7"/>
        <v>0.28910614525139666</v>
      </c>
      <c r="O14" s="87">
        <f>100*(AvgMonthlyPop_YearlybyAge_Sex[[#This Row],[2025]]-AvgMonthlyPop_YearlybyAge_Sex[[#This Row],[2015]])</f>
        <v>3.0473136964864755E-2</v>
      </c>
      <c r="P14" s="87">
        <f>100*(AvgMonthlyPop_YearlybyAge_Sex[[#This Row],[2025]]-AvgMonthlyPop_YearlybyAge_Sex[[#This Row],[2024]])</f>
        <v>-0.38936608374146586</v>
      </c>
    </row>
    <row r="15" spans="1:16" x14ac:dyDescent="0.2">
      <c r="A15" s="205" t="s">
        <v>151</v>
      </c>
      <c r="B15" s="205" t="s">
        <v>55</v>
      </c>
      <c r="C15" s="207" t="s">
        <v>58</v>
      </c>
      <c r="D15" s="85">
        <f t="shared" ref="D15:M15" si="9">D7/D$11</f>
        <v>0.54795951156812328</v>
      </c>
      <c r="E15" s="85">
        <f t="shared" si="9"/>
        <v>0.53692614770459091</v>
      </c>
      <c r="F15" s="85">
        <f t="shared" si="9"/>
        <v>0.53807009121459437</v>
      </c>
      <c r="G15" s="85">
        <f t="shared" si="9"/>
        <v>0.53094705443698731</v>
      </c>
      <c r="H15" s="85">
        <f t="shared" si="9"/>
        <v>0.54021538760065968</v>
      </c>
      <c r="I15" s="85">
        <f t="shared" si="9"/>
        <v>0.52693908033713854</v>
      </c>
      <c r="J15" s="85">
        <f t="shared" si="9"/>
        <v>0.61397769516728617</v>
      </c>
      <c r="K15" s="85">
        <f t="shared" si="9"/>
        <v>0.56448358099431306</v>
      </c>
      <c r="L15" s="85">
        <f t="shared" si="9"/>
        <v>0.57061933534743203</v>
      </c>
      <c r="M15" s="85">
        <f t="shared" si="9"/>
        <v>0.55419817723482645</v>
      </c>
      <c r="N15" s="85">
        <f t="shared" si="7"/>
        <v>0.56723862729449315</v>
      </c>
      <c r="O15" s="87">
        <f>100*(AvgMonthlyPop_YearlybyAge_Sex[[#This Row],[2025]]-AvgMonthlyPop_YearlybyAge_Sex[[#This Row],[2015]])</f>
        <v>1.9279115726369866</v>
      </c>
      <c r="P15" s="87">
        <f>100*(AvgMonthlyPop_YearlybyAge_Sex[[#This Row],[2025]]-AvgMonthlyPop_YearlybyAge_Sex[[#This Row],[2024]])</f>
        <v>1.3040450059666697</v>
      </c>
    </row>
    <row r="16" spans="1:16" x14ac:dyDescent="0.2">
      <c r="A16" s="82" t="s">
        <v>151</v>
      </c>
      <c r="B16" s="82" t="s">
        <v>149</v>
      </c>
      <c r="C16" s="82" t="s">
        <v>36</v>
      </c>
      <c r="D16" s="88">
        <f t="shared" ref="D16:M16" si="10">D8/D$11</f>
        <v>0.99999999999999978</v>
      </c>
      <c r="E16" s="88">
        <f t="shared" si="10"/>
        <v>1</v>
      </c>
      <c r="F16" s="88">
        <f t="shared" si="10"/>
        <v>1.0000000000000002</v>
      </c>
      <c r="G16" s="88">
        <f t="shared" si="10"/>
        <v>1</v>
      </c>
      <c r="H16" s="88">
        <f t="shared" si="10"/>
        <v>0.99999999999999989</v>
      </c>
      <c r="I16" s="88">
        <f t="shared" si="10"/>
        <v>0.99999999999999989</v>
      </c>
      <c r="J16" s="88">
        <f t="shared" si="10"/>
        <v>0.99999999999999978</v>
      </c>
      <c r="K16" s="88">
        <f t="shared" si="10"/>
        <v>1</v>
      </c>
      <c r="L16" s="88">
        <f t="shared" si="10"/>
        <v>1.0000000000000002</v>
      </c>
      <c r="M16" s="88">
        <f t="shared" si="10"/>
        <v>1</v>
      </c>
      <c r="N16" s="88">
        <f t="shared" si="7"/>
        <v>0.99999999999999989</v>
      </c>
      <c r="O16" s="89" t="s">
        <v>37</v>
      </c>
      <c r="P16" s="89" t="s">
        <v>37</v>
      </c>
    </row>
    <row r="17" spans="1:16" x14ac:dyDescent="0.2">
      <c r="A17" s="205" t="s">
        <v>151</v>
      </c>
      <c r="B17" s="205" t="s">
        <v>59</v>
      </c>
      <c r="C17" s="205" t="s">
        <v>60</v>
      </c>
      <c r="D17" s="85">
        <f t="shared" ref="D17:M17" si="11">D9/D$11</f>
        <v>4.0729434447300768E-2</v>
      </c>
      <c r="E17" s="85">
        <f t="shared" si="11"/>
        <v>3.7663802829124356E-2</v>
      </c>
      <c r="F17" s="85">
        <f t="shared" si="11"/>
        <v>2.9284685549687953E-2</v>
      </c>
      <c r="G17" s="85">
        <f t="shared" si="11"/>
        <v>3.6167039522744221E-2</v>
      </c>
      <c r="H17" s="85">
        <f t="shared" si="11"/>
        <v>3.1240904239837001E-2</v>
      </c>
      <c r="I17" s="85">
        <f t="shared" si="11"/>
        <v>3.5634268643977382E-2</v>
      </c>
      <c r="J17" s="85">
        <f t="shared" si="11"/>
        <v>3.2713754646840142E-2</v>
      </c>
      <c r="K17" s="85">
        <f t="shared" si="11"/>
        <v>3.2654558796551096E-2</v>
      </c>
      <c r="L17" s="85">
        <f t="shared" si="11"/>
        <v>2.6246223564954686E-2</v>
      </c>
      <c r="M17" s="85">
        <f t="shared" si="11"/>
        <v>1.9391118867558659E-2</v>
      </c>
      <c r="N17" s="85">
        <f t="shared" si="7"/>
        <v>2.494014365522745E-2</v>
      </c>
      <c r="O17" s="86">
        <f>100*(AvgMonthlyPop_YearlybyAge_Sex[[#This Row],[2025]]-AvgMonthlyPop_YearlybyAge_Sex[[#This Row],[2015]])</f>
        <v>-1.5789290792073318</v>
      </c>
      <c r="P17" s="86">
        <f>100*(AvgMonthlyPop_YearlybyAge_Sex[[#This Row],[2025]]-AvgMonthlyPop_YearlybyAge_Sex[[#This Row],[2024]])</f>
        <v>0.55490247876687904</v>
      </c>
    </row>
    <row r="18" spans="1:16" x14ac:dyDescent="0.2">
      <c r="A18" s="207" t="s">
        <v>151</v>
      </c>
      <c r="B18" s="207" t="s">
        <v>59</v>
      </c>
      <c r="C18" s="207" t="s">
        <v>61</v>
      </c>
      <c r="D18" s="85">
        <f t="shared" ref="D18:M18" si="12">D10/D$11</f>
        <v>0.95927056555269907</v>
      </c>
      <c r="E18" s="85">
        <f t="shared" si="12"/>
        <v>0.96233619717087571</v>
      </c>
      <c r="F18" s="85">
        <f t="shared" si="12"/>
        <v>0.97071531445031212</v>
      </c>
      <c r="G18" s="85">
        <f t="shared" si="12"/>
        <v>0.96383296047725575</v>
      </c>
      <c r="H18" s="85">
        <f t="shared" si="12"/>
        <v>0.96875909576016295</v>
      </c>
      <c r="I18" s="85">
        <f t="shared" si="12"/>
        <v>0.96436573135602255</v>
      </c>
      <c r="J18" s="85">
        <f t="shared" si="12"/>
        <v>0.96728624535315977</v>
      </c>
      <c r="K18" s="85">
        <f t="shared" si="12"/>
        <v>0.9673454412034489</v>
      </c>
      <c r="L18" s="85">
        <f t="shared" si="12"/>
        <v>0.97375377643504535</v>
      </c>
      <c r="M18" s="85">
        <f t="shared" si="12"/>
        <v>0.98060888113244138</v>
      </c>
      <c r="N18" s="85">
        <f t="shared" si="7"/>
        <v>0.97505985634477255</v>
      </c>
      <c r="O18" s="87">
        <f>100*(AvgMonthlyPop_YearlybyAge_Sex[[#This Row],[2025]]-AvgMonthlyPop_YearlybyAge_Sex[[#This Row],[2015]])</f>
        <v>1.5789290792073474</v>
      </c>
      <c r="P18" s="87">
        <f>100*(AvgMonthlyPop_YearlybyAge_Sex[[#This Row],[2025]]-AvgMonthlyPop_YearlybyAge_Sex[[#This Row],[2024]])</f>
        <v>-0.55490247876688326</v>
      </c>
    </row>
    <row r="19" spans="1:16" x14ac:dyDescent="0.2">
      <c r="A19" s="194" t="s">
        <v>151</v>
      </c>
      <c r="B19" s="194" t="s">
        <v>150</v>
      </c>
      <c r="C19" s="194" t="s">
        <v>36</v>
      </c>
      <c r="D19" s="195">
        <f t="shared" ref="D19:M19" si="13">D11/D$11</f>
        <v>1</v>
      </c>
      <c r="E19" s="195">
        <f t="shared" si="13"/>
        <v>1</v>
      </c>
      <c r="F19" s="195">
        <f t="shared" si="13"/>
        <v>1</v>
      </c>
      <c r="G19" s="195">
        <f t="shared" si="13"/>
        <v>1</v>
      </c>
      <c r="H19" s="195">
        <f t="shared" si="13"/>
        <v>1</v>
      </c>
      <c r="I19" s="195">
        <f t="shared" si="13"/>
        <v>1</v>
      </c>
      <c r="J19" s="195">
        <f t="shared" si="13"/>
        <v>1</v>
      </c>
      <c r="K19" s="195">
        <f t="shared" si="13"/>
        <v>1</v>
      </c>
      <c r="L19" s="195">
        <f t="shared" si="13"/>
        <v>1</v>
      </c>
      <c r="M19" s="195">
        <f t="shared" si="13"/>
        <v>1</v>
      </c>
      <c r="N19" s="195">
        <f t="shared" si="7"/>
        <v>1</v>
      </c>
      <c r="O19" s="87" t="s">
        <v>37</v>
      </c>
      <c r="P19" s="87" t="s">
        <v>37</v>
      </c>
    </row>
  </sheetData>
  <phoneticPr fontId="19" type="noConversion"/>
  <pageMargins left="0.7" right="0.7" top="0.75" bottom="0.75" header="0.3" footer="0.3"/>
  <ignoredErrors>
    <ignoredError sqref="C13:C15 C5:C7" numberStoredAsText="1"/>
    <ignoredError sqref="N8 D8:M8 N11 N12:N19 D11:M11 D12:M19" unlockedFormula="1"/>
    <ignoredError sqref="O19 O16 P19 P16" calculatedColumn="1"/>
    <ignoredError sqref="O4:O15 O17:O18 P4:P15 P17:P18" unlockedFormula="1" calculatedColumn="1"/>
  </ignoredErrors>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ypeofContent_x0028_Local_x0029_ xmlns="26e84011-c2fe-4213-95e4-84250e855ae8" xsi:nil="true"/>
    <TaxCatchAll xmlns="d20dc752-e45b-4d1b-85e2-ad89d550b4ce" xsi:nil="true"/>
    <DataRequests xmlns="26e84011-c2fe-4213-95e4-84250e855ae8" xsi:nil="true"/>
    <IndexID xmlns="26e84011-c2fe-4213-95e4-84250e855ae8" xsi:nil="true"/>
    <EditItem xmlns="26e84011-c2fe-4213-95e4-84250e855ae8">
      <Url xsi:nil="true"/>
      <Description xsi:nil="true"/>
    </EditItem>
    <Preview xmlns="26e84011-c2fe-4213-95e4-84250e855ae8" xsi:nil="true"/>
    <lcf76f155ced4ddcb4097134ff3c332f xmlns="26e84011-c2fe-4213-95e4-84250e855ae8">
      <Terms xmlns="http://schemas.microsoft.com/office/infopath/2007/PartnerControls"/>
    </lcf76f155ced4ddcb4097134ff3c332f>
    <RequestSource xmlns="26e84011-c2fe-4213-95e4-84250e855ae8"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777396513BA1FD4CA14D6AB97EB90AC2" ma:contentTypeVersion="41" ma:contentTypeDescription="Create a new document." ma:contentTypeScope="" ma:versionID="31be37df10def5302e496ecb088202fa">
  <xsd:schema xmlns:xsd="http://www.w3.org/2001/XMLSchema" xmlns:xs="http://www.w3.org/2001/XMLSchema" xmlns:p="http://schemas.microsoft.com/office/2006/metadata/properties" xmlns:ns2="26e84011-c2fe-4213-95e4-84250e855ae8" xmlns:ns3="d20dc752-e45b-4d1b-85e2-ad89d550b4ce" targetNamespace="http://schemas.microsoft.com/office/2006/metadata/properties" ma:root="true" ma:fieldsID="9423801590183cbf9f22cb6f7daa6515" ns2:_="" ns3:_="">
    <xsd:import namespace="26e84011-c2fe-4213-95e4-84250e855ae8"/>
    <xsd:import namespace="d20dc752-e45b-4d1b-85e2-ad89d550b4ce"/>
    <xsd:element name="properties">
      <xsd:complexType>
        <xsd:sequence>
          <xsd:element name="documentManagement">
            <xsd:complexType>
              <xsd:all>
                <xsd:element ref="ns2:TypeofContent_x0028_Local_x0029_" minOccurs="0"/>
                <xsd:element ref="ns2:DataRequests" minOccurs="0"/>
                <xsd:element ref="ns2:RequestSource" minOccurs="0"/>
                <xsd:element ref="ns2:EditItem" minOccurs="0"/>
                <xsd:element ref="ns2:Preview" minOccurs="0"/>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IndexID"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6e84011-c2fe-4213-95e4-84250e855ae8" elementFormDefault="qualified">
    <xsd:import namespace="http://schemas.microsoft.com/office/2006/documentManagement/types"/>
    <xsd:import namespace="http://schemas.microsoft.com/office/infopath/2007/PartnerControls"/>
    <xsd:element name="TypeofContent_x0028_Local_x0029_" ma:index="4" nillable="true" ma:displayName="Type of Content(Local)" ma:internalName="TypeofContent_x0028_Local_x0029_" ma:readOnly="false">
      <xsd:complexType>
        <xsd:complexContent>
          <xsd:extension base="dms:MultiChoice">
            <xsd:sequence>
              <xsd:element name="Value" maxOccurs="unbounded" minOccurs="0" nillable="true">
                <xsd:simpleType>
                  <xsd:restriction base="dms:Choice">
                    <xsd:enumeration value="Data Requests"/>
                    <xsd:enumeration value="Data Responses"/>
                    <xsd:enumeration value="Meeting Minutes"/>
                    <xsd:enumeration value="Raw Data"/>
                    <xsd:enumeration value="Analysis"/>
                    <xsd:enumeration value="Visuals"/>
                    <xsd:enumeration value="Code"/>
                    <xsd:enumeration value="Data Sharing Agreements"/>
                  </xsd:restriction>
                </xsd:simpleType>
              </xsd:element>
            </xsd:sequence>
          </xsd:extension>
        </xsd:complexContent>
      </xsd:complexType>
    </xsd:element>
    <xsd:element name="DataRequests" ma:index="5" nillable="true" ma:displayName="Data Requests" ma:internalName="DataRequests" ma:readOnly="false">
      <xsd:complexType>
        <xsd:complexContent>
          <xsd:extension base="dms:MultiChoice">
            <xsd:sequence>
              <xsd:element name="Value" maxOccurs="unbounded" minOccurs="0" nillable="true">
                <xsd:simpleType>
                  <xsd:restriction base="dms:Choice">
                    <xsd:enumeration value="Internal"/>
                    <xsd:enumeration value="External"/>
                  </xsd:restriction>
                </xsd:simpleType>
              </xsd:element>
            </xsd:sequence>
          </xsd:extension>
        </xsd:complexContent>
      </xsd:complexType>
    </xsd:element>
    <xsd:element name="RequestSource" ma:index="6" nillable="true" ma:displayName="Request Source" ma:format="Dropdown" ma:internalName="RequestSource" ma:readOnly="false">
      <xsd:simpleType>
        <xsd:restriction base="dms:Choice">
          <xsd:enumeration value="Internal"/>
          <xsd:enumeration value="External"/>
        </xsd:restriction>
      </xsd:simpleType>
    </xsd:element>
    <xsd:element name="EditItem" ma:index="7" nillable="true" ma:displayName="Edit Details" ma:format="Hyperlink" ma:hidden="true" ma:internalName="EditItem"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Preview" ma:index="8" nillable="true" ma:displayName="Preview" ma:internalName="Preview" ma:readOnly="false">
      <xsd:simpleType>
        <xsd:restriction base="dms:Unknown"/>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95b7e4bc-7c04-4239-a3c8-056ff7db7bf8"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IndexID" ma:index="19" nillable="true" ma:displayName="IndexID" ma:internalName="IndexID" ma:readOnly="false" ma:percentage="FALSE">
      <xsd:simpleType>
        <xsd:restriction base="dms:Number"/>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20dc752-e45b-4d1b-85e2-ad89d550b4ce"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261400f4-19d0-4ef7-b506-55797531aa1a}" ma:internalName="TaxCatchAll" ma:showField="CatchAllData" ma:web="d20dc752-e45b-4d1b-85e2-ad89d550b4c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1677612-3F50-4A45-A79F-157CAC4FE9AB}">
  <ds:schemaRefs>
    <ds:schemaRef ds:uri="http://purl.org/dc/terms/"/>
    <ds:schemaRef ds:uri="d20dc752-e45b-4d1b-85e2-ad89d550b4ce"/>
    <ds:schemaRef ds:uri="http://schemas.openxmlformats.org/package/2006/metadata/core-properties"/>
    <ds:schemaRef ds:uri="http://purl.org/dc/dcmitype/"/>
    <ds:schemaRef ds:uri="http://schemas.microsoft.com/office/infopath/2007/PartnerControls"/>
    <ds:schemaRef ds:uri="http://www.w3.org/XML/1998/namespace"/>
    <ds:schemaRef ds:uri="http://schemas.microsoft.com/office/2006/documentManagement/types"/>
    <ds:schemaRef ds:uri="26e84011-c2fe-4213-95e4-84250e855ae8"/>
    <ds:schemaRef ds:uri="http://schemas.microsoft.com/office/2006/metadata/properties"/>
    <ds:schemaRef ds:uri="http://purl.org/dc/elements/1.1/"/>
  </ds:schemaRefs>
</ds:datastoreItem>
</file>

<file path=customXml/itemProps2.xml><?xml version="1.0" encoding="utf-8"?>
<ds:datastoreItem xmlns:ds="http://schemas.openxmlformats.org/officeDocument/2006/customXml" ds:itemID="{E9A2C430-1612-40E4-B702-6C1F5AC5700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6e84011-c2fe-4213-95e4-84250e855ae8"/>
    <ds:schemaRef ds:uri="d20dc752-e45b-4d1b-85e2-ad89d550b4c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B4449E9-2959-4346-B561-95DC0FDD830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22</vt:i4>
      </vt:variant>
    </vt:vector>
  </HeadingPairs>
  <TitlesOfParts>
    <vt:vector size="22" baseType="lpstr">
      <vt:lpstr>Cover</vt:lpstr>
      <vt:lpstr>Notes</vt:lpstr>
      <vt:lpstr>7.1</vt:lpstr>
      <vt:lpstr>7.2</vt:lpstr>
      <vt:lpstr>7.3</vt:lpstr>
      <vt:lpstr>7.4</vt:lpstr>
      <vt:lpstr>7.5</vt:lpstr>
      <vt:lpstr>7.6</vt:lpstr>
      <vt:lpstr>7.7</vt:lpstr>
      <vt:lpstr>7.8</vt:lpstr>
      <vt:lpstr>7.9</vt:lpstr>
      <vt:lpstr>7.10</vt:lpstr>
      <vt:lpstr>7.11</vt:lpstr>
      <vt:lpstr>7.12</vt:lpstr>
      <vt:lpstr>7.13</vt:lpstr>
      <vt:lpstr>7.14</vt:lpstr>
      <vt:lpstr>7.15</vt:lpstr>
      <vt:lpstr>7.16</vt:lpstr>
      <vt:lpstr>7.17</vt:lpstr>
      <vt:lpstr>7.18</vt:lpstr>
      <vt:lpstr>7.19</vt:lpstr>
      <vt:lpstr>7.20</vt:lpstr>
    </vt:vector>
  </TitlesOfParts>
  <Manager/>
  <Company>Youth Justice Board</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willik</dc:creator>
  <cp:keywords/>
  <dc:description/>
  <cp:lastModifiedBy>Kennedy, Stephen (YJB)</cp:lastModifiedBy>
  <cp:revision/>
  <dcterms:created xsi:type="dcterms:W3CDTF">2011-07-26T08:58:12Z</dcterms:created>
  <dcterms:modified xsi:type="dcterms:W3CDTF">2026-01-28T14:51:18Z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0x010100777396513BA1FD4CA14D6AB97EB90AC2</vt:lpwstr>
  </property>
  <property fmtid="{D5CDD505-2E9C-101B-9397-08002B2CF9AE}" pid="3" name="MediaServiceImageTags">
    <vt:lpwstr/>
  </property>
  <property fmtid="{D5CDD505-2E9C-101B-9397-08002B2CF9AE}" pid="4" name="_ExtendedDescription">
    <vt:lpwstr/>
  </property>
</Properties>
</file>